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Ivan\Documents\AFI Work\"/>
    </mc:Choice>
  </mc:AlternateContent>
  <xr:revisionPtr revIDLastSave="0" documentId="8_{465DFBFF-DE8F-415F-A920-6872FD7CBA07}" xr6:coauthVersionLast="46" xr6:coauthVersionMax="46" xr10:uidLastSave="{00000000-0000-0000-0000-000000000000}"/>
  <bookViews>
    <workbookView xWindow="-120" yWindow="-120" windowWidth="20730" windowHeight="11160" activeTab="2" xr2:uid="{AD663B08-4501-49D8-B0A5-9EF576D8F978}"/>
  </bookViews>
  <sheets>
    <sheet name="Cover Page" sheetId="9" r:id="rId1"/>
    <sheet name="Dashboard" sheetId="35" r:id="rId2"/>
    <sheet name="User guide" sheetId="37" r:id="rId3"/>
    <sheet name="Definitions" sheetId="24" r:id="rId4"/>
    <sheet name="Analytics 3" sheetId="36" state="hidden" r:id="rId5"/>
    <sheet name="Codes" sheetId="29" state="hidden" r:id="rId6"/>
    <sheet name="Source for Dashboard" sheetId="32" state="hidden" r:id="rId7"/>
    <sheet name="MSME policies catalogue" sheetId="33" r:id="rId8"/>
    <sheet name="Drop-down" sheetId="16" state="hidden" r:id="rId9"/>
  </sheets>
  <externalReferences>
    <externalReference r:id="rId10"/>
  </externalReferences>
  <definedNames>
    <definedName name="_xlnm._FilterDatabase" localSheetId="7" hidden="1">'MSME policies catalogue'!$A$5:$AN$248</definedName>
    <definedName name="Filter" localSheetId="7" hidden="1">'MSME policies catalogue'!$A$5:$AN$248</definedName>
    <definedName name="filter3" localSheetId="7" hidden="1">'MSME policies catalogue'!$A$5:$AN$248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7" i="36" l="1"/>
  <c r="Q98" i="36"/>
  <c r="N98" i="36"/>
  <c r="M98" i="36"/>
  <c r="I98" i="36"/>
  <c r="E95" i="36"/>
  <c r="N97" i="36"/>
  <c r="I97" i="36"/>
  <c r="E94" i="36"/>
  <c r="Q100" i="36"/>
  <c r="N100" i="36"/>
  <c r="M100" i="36"/>
  <c r="I100" i="36"/>
  <c r="E97" i="36"/>
  <c r="Q99" i="36" l="1"/>
  <c r="N99" i="36"/>
  <c r="M99" i="36"/>
  <c r="I99" i="36"/>
  <c r="E96" i="36"/>
  <c r="B2" i="33"/>
  <c r="H79" i="35" l="1"/>
  <c r="H148" i="35"/>
  <c r="A125" i="29"/>
  <c r="I260" i="35" s="1"/>
  <c r="E205" i="36"/>
  <c r="G222" i="36"/>
  <c r="F214" i="36"/>
  <c r="F205" i="36"/>
  <c r="E214" i="36"/>
  <c r="E222" i="36"/>
  <c r="F221" i="36"/>
  <c r="F222" i="36"/>
  <c r="E221" i="36"/>
  <c r="E213" i="36"/>
  <c r="E212" i="36"/>
  <c r="G221" i="36"/>
  <c r="F213" i="36"/>
  <c r="F204" i="36"/>
  <c r="E204" i="36"/>
  <c r="E203" i="36"/>
  <c r="Q91" i="36"/>
  <c r="Q90" i="36"/>
  <c r="Q89" i="36"/>
  <c r="Q88" i="36"/>
  <c r="Q87" i="36"/>
  <c r="Q86" i="36"/>
  <c r="Q85" i="36"/>
  <c r="Q84" i="36"/>
  <c r="Q83" i="36"/>
  <c r="M91" i="36"/>
  <c r="M90" i="36"/>
  <c r="M89" i="36"/>
  <c r="M88" i="36"/>
  <c r="M87" i="36"/>
  <c r="M86" i="36"/>
  <c r="M85" i="36"/>
  <c r="M84" i="36"/>
  <c r="M83" i="36"/>
  <c r="R83" i="36"/>
  <c r="R84" i="36"/>
  <c r="R85" i="36"/>
  <c r="R86" i="36"/>
  <c r="R87" i="36"/>
  <c r="R88" i="36"/>
  <c r="R89" i="36"/>
  <c r="R90" i="36"/>
  <c r="R91" i="36"/>
  <c r="N91" i="36"/>
  <c r="N90" i="36"/>
  <c r="N89" i="36"/>
  <c r="N88" i="36"/>
  <c r="N87" i="36"/>
  <c r="N86" i="36"/>
  <c r="N85" i="36"/>
  <c r="N84" i="36"/>
  <c r="N83" i="36"/>
  <c r="J91" i="36"/>
  <c r="J90" i="36"/>
  <c r="J89" i="36"/>
  <c r="J88" i="36"/>
  <c r="J87" i="36"/>
  <c r="J86" i="36"/>
  <c r="J85" i="36"/>
  <c r="J84" i="36"/>
  <c r="J83" i="36"/>
  <c r="F88" i="36"/>
  <c r="F87" i="36"/>
  <c r="F86" i="36"/>
  <c r="F85" i="36"/>
  <c r="F84" i="36"/>
  <c r="F83" i="36"/>
  <c r="F82" i="36"/>
  <c r="F81" i="36"/>
  <c r="F80" i="36"/>
  <c r="I91" i="36"/>
  <c r="I90" i="36"/>
  <c r="I89" i="36"/>
  <c r="I88" i="36"/>
  <c r="I87" i="36"/>
  <c r="I86" i="36"/>
  <c r="I85" i="36"/>
  <c r="I84" i="36"/>
  <c r="I83" i="36"/>
  <c r="E88" i="36"/>
  <c r="E87" i="36"/>
  <c r="E86" i="36"/>
  <c r="E85" i="36"/>
  <c r="E84" i="36"/>
  <c r="E83" i="36"/>
  <c r="E82" i="36"/>
  <c r="E81" i="36"/>
  <c r="E80" i="36"/>
  <c r="I82" i="36"/>
  <c r="E79" i="36"/>
  <c r="E139" i="36"/>
  <c r="F184" i="36"/>
  <c r="F183" i="36"/>
  <c r="F182" i="36"/>
  <c r="F181" i="36"/>
  <c r="F180" i="36"/>
  <c r="F179" i="36"/>
  <c r="F178" i="36"/>
  <c r="F177" i="36"/>
  <c r="E184" i="36"/>
  <c r="E183" i="36"/>
  <c r="E182" i="36"/>
  <c r="E181" i="36"/>
  <c r="E180" i="36"/>
  <c r="E179" i="36"/>
  <c r="E178" i="36"/>
  <c r="E177" i="36"/>
  <c r="E163" i="36"/>
  <c r="E162" i="36"/>
  <c r="E161" i="36"/>
  <c r="E160" i="36"/>
  <c r="E159" i="36"/>
  <c r="E158" i="36"/>
  <c r="E157" i="36"/>
  <c r="E156" i="36"/>
  <c r="G184" i="36"/>
  <c r="G183" i="36"/>
  <c r="G182" i="36"/>
  <c r="G181" i="36"/>
  <c r="G180" i="36"/>
  <c r="G179" i="36"/>
  <c r="G178" i="36"/>
  <c r="G177" i="36"/>
  <c r="F163" i="36"/>
  <c r="F162" i="36"/>
  <c r="F161" i="36"/>
  <c r="F160" i="36"/>
  <c r="F159" i="36"/>
  <c r="F158" i="36"/>
  <c r="F157" i="36"/>
  <c r="F156" i="36"/>
  <c r="F147" i="36"/>
  <c r="F146" i="36"/>
  <c r="F145" i="36"/>
  <c r="F144" i="36"/>
  <c r="F143" i="36"/>
  <c r="F142" i="36"/>
  <c r="F141" i="36"/>
  <c r="F140" i="36"/>
  <c r="E147" i="36"/>
  <c r="E146" i="36"/>
  <c r="E145" i="36"/>
  <c r="E144" i="36"/>
  <c r="E143" i="36"/>
  <c r="E142" i="36"/>
  <c r="E141" i="36"/>
  <c r="E140" i="36"/>
  <c r="E155" i="36"/>
  <c r="F33" i="36"/>
  <c r="F32" i="36"/>
  <c r="F31" i="36"/>
  <c r="F30" i="36"/>
  <c r="F29" i="36"/>
  <c r="F28" i="36"/>
  <c r="F27" i="36"/>
  <c r="F26" i="36"/>
  <c r="F25" i="36"/>
  <c r="F24" i="36"/>
  <c r="E33" i="36"/>
  <c r="E32" i="36"/>
  <c r="E31" i="36"/>
  <c r="E30" i="36"/>
  <c r="E29" i="36"/>
  <c r="E28" i="36"/>
  <c r="E27" i="36"/>
  <c r="E26" i="36"/>
  <c r="E25" i="36"/>
  <c r="E24" i="36"/>
  <c r="G33" i="36"/>
  <c r="G32" i="36"/>
  <c r="G31" i="36"/>
  <c r="G30" i="36"/>
  <c r="G29" i="36"/>
  <c r="G28" i="36"/>
  <c r="G27" i="36"/>
  <c r="G26" i="36"/>
  <c r="G25" i="36"/>
  <c r="G24" i="36"/>
  <c r="F20" i="36"/>
  <c r="F19" i="36"/>
  <c r="F18" i="36"/>
  <c r="F17" i="36"/>
  <c r="F16" i="36"/>
  <c r="F15" i="36"/>
  <c r="F14" i="36"/>
  <c r="F13" i="36"/>
  <c r="F12" i="36"/>
  <c r="F11" i="36"/>
  <c r="E20" i="36"/>
  <c r="E19" i="36"/>
  <c r="E18" i="36"/>
  <c r="E17" i="36"/>
  <c r="E16" i="36"/>
  <c r="E15" i="36"/>
  <c r="E14" i="36"/>
  <c r="E13" i="36"/>
  <c r="E12" i="36"/>
  <c r="E11" i="36"/>
  <c r="E10" i="36"/>
  <c r="I65" i="36"/>
  <c r="I78" i="36"/>
  <c r="I77" i="36"/>
  <c r="I76" i="36"/>
  <c r="I75" i="36"/>
  <c r="I74" i="36"/>
  <c r="I73" i="36"/>
  <c r="I72" i="36"/>
  <c r="I71" i="36"/>
  <c r="I70" i="36"/>
  <c r="I69" i="36"/>
  <c r="I68" i="36"/>
  <c r="I67" i="36"/>
  <c r="I66" i="36"/>
  <c r="E75" i="36"/>
  <c r="E74" i="36"/>
  <c r="E73" i="36"/>
  <c r="E72" i="36"/>
  <c r="E71" i="36"/>
  <c r="E70" i="36"/>
  <c r="E69" i="36"/>
  <c r="E68" i="36"/>
  <c r="E67" i="36"/>
  <c r="E66" i="36"/>
  <c r="E65" i="36"/>
  <c r="E64" i="36"/>
  <c r="E63" i="36"/>
  <c r="E62" i="36"/>
  <c r="Q78" i="36"/>
  <c r="Q77" i="36"/>
  <c r="Q76" i="36"/>
  <c r="Q75" i="36"/>
  <c r="Q74" i="36"/>
  <c r="Q73" i="36"/>
  <c r="Q72" i="36"/>
  <c r="Q71" i="36"/>
  <c r="Q70" i="36"/>
  <c r="Q69" i="36"/>
  <c r="Q68" i="36"/>
  <c r="Q67" i="36"/>
  <c r="M78" i="36"/>
  <c r="M77" i="36"/>
  <c r="M76" i="36"/>
  <c r="M75" i="36"/>
  <c r="M74" i="36"/>
  <c r="M73" i="36"/>
  <c r="M72" i="36"/>
  <c r="M71" i="36"/>
  <c r="M69" i="36"/>
  <c r="M68" i="36"/>
  <c r="M67" i="36"/>
  <c r="M66" i="36"/>
  <c r="R66" i="36"/>
  <c r="R78" i="36"/>
  <c r="R77" i="36"/>
  <c r="R76" i="36"/>
  <c r="R75" i="36"/>
  <c r="R74" i="36"/>
  <c r="R73" i="36"/>
  <c r="R72" i="36"/>
  <c r="R71" i="36"/>
  <c r="R70" i="36"/>
  <c r="R69" i="36"/>
  <c r="R68" i="36"/>
  <c r="R67" i="36"/>
  <c r="N78" i="36"/>
  <c r="N77" i="36"/>
  <c r="N76" i="36"/>
  <c r="N75" i="36"/>
  <c r="N74" i="36"/>
  <c r="N73" i="36"/>
  <c r="N72" i="36"/>
  <c r="N71" i="36"/>
  <c r="N70" i="36"/>
  <c r="N69" i="36"/>
  <c r="N68" i="36"/>
  <c r="N67" i="36"/>
  <c r="N66" i="36"/>
  <c r="J78" i="36"/>
  <c r="J77" i="36"/>
  <c r="J76" i="36"/>
  <c r="J75" i="36"/>
  <c r="J74" i="36"/>
  <c r="J73" i="36"/>
  <c r="J72" i="36"/>
  <c r="J71" i="36"/>
  <c r="J70" i="36"/>
  <c r="J69" i="36"/>
  <c r="J68" i="36"/>
  <c r="J67" i="36"/>
  <c r="J66" i="36"/>
  <c r="F75" i="36"/>
  <c r="F74" i="36"/>
  <c r="F73" i="36"/>
  <c r="F72" i="36"/>
  <c r="F71" i="36"/>
  <c r="F70" i="36"/>
  <c r="F69" i="36"/>
  <c r="F68" i="36"/>
  <c r="F67" i="36"/>
  <c r="F66" i="36"/>
  <c r="F65" i="36"/>
  <c r="F64" i="36"/>
  <c r="F63" i="36"/>
  <c r="I96" i="36"/>
  <c r="E1" i="36"/>
  <c r="D1" i="36"/>
  <c r="E93" i="36"/>
  <c r="A11" i="29"/>
  <c r="A9" i="29"/>
  <c r="A5" i="29"/>
  <c r="A7" i="29"/>
  <c r="A6" i="29" s="1"/>
  <c r="D2" i="36" s="1"/>
  <c r="A1" i="29"/>
  <c r="A24" i="29"/>
  <c r="A22" i="29"/>
  <c r="A20" i="29"/>
  <c r="A17" i="29"/>
  <c r="A15" i="29"/>
  <c r="A13" i="29"/>
  <c r="M70" i="36"/>
  <c r="Q66" i="36"/>
  <c r="F50" i="36"/>
  <c r="E50" i="36"/>
  <c r="F49" i="36"/>
  <c r="E49" i="36"/>
  <c r="F48" i="36"/>
  <c r="E48" i="36"/>
  <c r="F47" i="36"/>
  <c r="E47" i="36"/>
  <c r="F46" i="36"/>
  <c r="E46" i="36"/>
  <c r="F45" i="36"/>
  <c r="E45" i="36"/>
  <c r="F44" i="36"/>
  <c r="E44" i="36"/>
  <c r="F43" i="36"/>
  <c r="E43" i="36"/>
  <c r="F42" i="36"/>
  <c r="E42" i="36"/>
  <c r="F41" i="36"/>
  <c r="E41" i="36"/>
  <c r="F40" i="36"/>
  <c r="E40" i="36"/>
  <c r="E39" i="36"/>
  <c r="R98" i="36" l="1"/>
  <c r="J98" i="36"/>
  <c r="R97" i="36"/>
  <c r="F94" i="36"/>
  <c r="F97" i="36"/>
  <c r="J97" i="36"/>
  <c r="R100" i="36"/>
  <c r="F95" i="36"/>
  <c r="M97" i="36"/>
  <c r="J100" i="36"/>
  <c r="R99" i="36"/>
  <c r="J99" i="36"/>
  <c r="F96" i="36"/>
  <c r="A4" i="29"/>
  <c r="C2" i="36" s="1"/>
  <c r="F159" i="29" l="1"/>
  <c r="F158" i="29"/>
  <c r="F157" i="29"/>
  <c r="F156" i="29"/>
  <c r="E159" i="29"/>
  <c r="E158" i="29"/>
  <c r="E157" i="29"/>
  <c r="E156" i="29"/>
  <c r="D159" i="29"/>
  <c r="D158" i="29"/>
  <c r="D157" i="29"/>
  <c r="D156" i="29"/>
  <c r="C159" i="29"/>
  <c r="C158" i="29"/>
  <c r="C157" i="29"/>
  <c r="C156" i="29"/>
  <c r="A159" i="29"/>
  <c r="A158" i="29"/>
  <c r="A157" i="29"/>
  <c r="A156" i="29"/>
  <c r="F135" i="29"/>
  <c r="F134" i="29"/>
  <c r="F133" i="29"/>
  <c r="F132" i="29"/>
  <c r="F131" i="29"/>
  <c r="F130" i="29"/>
  <c r="F129" i="29"/>
  <c r="F128" i="29"/>
  <c r="F127" i="29"/>
  <c r="E135" i="29"/>
  <c r="E134" i="29"/>
  <c r="E133" i="29"/>
  <c r="E132" i="29"/>
  <c r="E131" i="29"/>
  <c r="E130" i="29"/>
  <c r="E129" i="29"/>
  <c r="E128" i="29"/>
  <c r="E127" i="29"/>
  <c r="D135" i="29"/>
  <c r="D134" i="29"/>
  <c r="D133" i="29"/>
  <c r="D132" i="29"/>
  <c r="D131" i="29"/>
  <c r="D130" i="29"/>
  <c r="D129" i="29"/>
  <c r="D128" i="29"/>
  <c r="D127" i="29"/>
  <c r="C135" i="29"/>
  <c r="C134" i="29"/>
  <c r="C133" i="29"/>
  <c r="C132" i="29"/>
  <c r="C131" i="29"/>
  <c r="C130" i="29"/>
  <c r="C129" i="29"/>
  <c r="C128" i="29"/>
  <c r="C127" i="29"/>
  <c r="A135" i="29"/>
  <c r="A134" i="29"/>
  <c r="A133" i="29"/>
  <c r="A132" i="29"/>
  <c r="A131" i="29"/>
  <c r="A130" i="29"/>
  <c r="A129" i="29"/>
  <c r="A128" i="29"/>
  <c r="A127" i="29"/>
  <c r="D85" i="29"/>
  <c r="D84" i="29"/>
  <c r="D83" i="29"/>
  <c r="D82" i="29"/>
  <c r="D81" i="29"/>
  <c r="D80" i="29"/>
  <c r="D79" i="29"/>
  <c r="D78" i="29"/>
  <c r="D77" i="29"/>
  <c r="D76" i="29"/>
  <c r="D75" i="29"/>
  <c r="D74" i="29"/>
  <c r="D73" i="29"/>
  <c r="A85" i="29"/>
  <c r="A84" i="29"/>
  <c r="A83" i="29"/>
  <c r="A82" i="29"/>
  <c r="A81" i="29"/>
  <c r="A80" i="29"/>
  <c r="A79" i="29"/>
  <c r="A78" i="29"/>
  <c r="A77" i="29"/>
  <c r="A76" i="29"/>
  <c r="A75" i="29"/>
  <c r="A74" i="29"/>
  <c r="A73" i="29"/>
  <c r="F53" i="29" l="1"/>
  <c r="F52" i="29"/>
  <c r="F51" i="29"/>
  <c r="F50" i="29"/>
  <c r="F49" i="29"/>
  <c r="F48" i="29"/>
  <c r="F47" i="29"/>
  <c r="F46" i="29"/>
  <c r="F45" i="29"/>
  <c r="F44" i="29"/>
  <c r="F43" i="29"/>
  <c r="E53" i="29"/>
  <c r="E52" i="29"/>
  <c r="E51" i="29"/>
  <c r="E50" i="29"/>
  <c r="E48" i="29"/>
  <c r="E49" i="29"/>
  <c r="E47" i="29"/>
  <c r="E45" i="29"/>
  <c r="E46" i="29"/>
  <c r="E44" i="29"/>
  <c r="E43" i="29"/>
  <c r="A143" i="29"/>
  <c r="A141" i="29"/>
  <c r="F143" i="29"/>
  <c r="F141" i="29"/>
  <c r="E143" i="29"/>
  <c r="E141" i="29"/>
  <c r="F109" i="29"/>
  <c r="F108" i="29"/>
  <c r="F107" i="29"/>
  <c r="F106" i="29"/>
  <c r="F105" i="29"/>
  <c r="F104" i="29"/>
  <c r="F103" i="29"/>
  <c r="F102" i="29"/>
  <c r="E109" i="29"/>
  <c r="E108" i="29"/>
  <c r="E107" i="29"/>
  <c r="E106" i="29"/>
  <c r="E105" i="29"/>
  <c r="E104" i="29"/>
  <c r="E103" i="29"/>
  <c r="E102" i="29"/>
  <c r="D143" i="29"/>
  <c r="D141" i="29"/>
  <c r="C143" i="29"/>
  <c r="C141" i="29"/>
  <c r="C85" i="29"/>
  <c r="C84" i="29"/>
  <c r="C83" i="29"/>
  <c r="C82" i="29"/>
  <c r="C81" i="29"/>
  <c r="C80" i="29"/>
  <c r="C79" i="29"/>
  <c r="C78" i="29"/>
  <c r="C77" i="29"/>
  <c r="C76" i="29"/>
  <c r="C75" i="29"/>
  <c r="C74" i="29"/>
  <c r="C73" i="29"/>
  <c r="A43" i="29"/>
  <c r="D109" i="29" l="1"/>
  <c r="D108" i="29"/>
  <c r="D107" i="29"/>
  <c r="D106" i="29"/>
  <c r="D105" i="29"/>
  <c r="D104" i="29"/>
  <c r="D103" i="29"/>
  <c r="D102" i="29"/>
  <c r="C109" i="29"/>
  <c r="C108" i="29"/>
  <c r="C107" i="29"/>
  <c r="C106" i="29"/>
  <c r="C105" i="29"/>
  <c r="C104" i="29"/>
  <c r="C103" i="29"/>
  <c r="C102" i="29"/>
  <c r="A109" i="29"/>
  <c r="A108" i="29"/>
  <c r="A106" i="29"/>
  <c r="A105" i="29"/>
  <c r="A104" i="29"/>
  <c r="A103" i="29"/>
  <c r="A102" i="29"/>
  <c r="D53" i="29"/>
  <c r="D52" i="29"/>
  <c r="D51" i="29"/>
  <c r="D50" i="29"/>
  <c r="D49" i="29"/>
  <c r="D48" i="29"/>
  <c r="D47" i="29"/>
  <c r="D46" i="29"/>
  <c r="D45" i="29"/>
  <c r="D44" i="29"/>
  <c r="D43" i="29"/>
  <c r="C53" i="29"/>
  <c r="C52" i="29"/>
  <c r="C51" i="29"/>
  <c r="C50" i="29"/>
  <c r="C49" i="29"/>
  <c r="C48" i="29"/>
  <c r="C47" i="29"/>
  <c r="A53" i="29"/>
  <c r="A52" i="29"/>
  <c r="A51" i="29"/>
  <c r="A50" i="29"/>
  <c r="A49" i="29"/>
  <c r="A48" i="29"/>
  <c r="A47" i="29"/>
  <c r="A45" i="29"/>
  <c r="A44" i="29"/>
  <c r="A46" i="29"/>
  <c r="C46" i="29"/>
  <c r="C45" i="29"/>
  <c r="C44" i="29"/>
  <c r="C43" i="29"/>
  <c r="A8" i="29" l="1"/>
  <c r="F85" i="29"/>
  <c r="E85" i="29"/>
  <c r="F84" i="29"/>
  <c r="E84" i="29"/>
  <c r="F83" i="29"/>
  <c r="E83" i="29"/>
  <c r="F82" i="29" l="1"/>
  <c r="E82" i="29"/>
  <c r="F81" i="29"/>
  <c r="E81" i="29"/>
  <c r="F80" i="29"/>
  <c r="E80" i="29"/>
  <c r="F79" i="29"/>
  <c r="E79" i="29"/>
  <c r="F78" i="29"/>
  <c r="E78" i="29"/>
  <c r="F77" i="29"/>
  <c r="E77" i="29"/>
  <c r="F76" i="29"/>
  <c r="E76" i="29"/>
  <c r="F75" i="29"/>
  <c r="E75" i="29"/>
  <c r="F74" i="29"/>
  <c r="E74" i="29"/>
  <c r="F73" i="29"/>
  <c r="E73" i="29"/>
  <c r="C71" i="29" l="1"/>
  <c r="D71" i="29"/>
  <c r="C57" i="29"/>
  <c r="F151" i="29"/>
  <c r="E151" i="29"/>
  <c r="D151" i="29"/>
  <c r="C151" i="29"/>
  <c r="F150" i="29"/>
  <c r="E150" i="29"/>
  <c r="D150" i="29"/>
  <c r="C150" i="29"/>
  <c r="F149" i="29"/>
  <c r="E149" i="29"/>
  <c r="D149" i="29"/>
  <c r="C149" i="29"/>
  <c r="A151" i="29"/>
  <c r="A150" i="29"/>
  <c r="A149" i="29"/>
  <c r="F123" i="29"/>
  <c r="E123" i="29"/>
  <c r="D123" i="29"/>
  <c r="C123" i="29"/>
  <c r="A123" i="29"/>
  <c r="F122" i="29"/>
  <c r="E122" i="29"/>
  <c r="D122" i="29"/>
  <c r="C122" i="29"/>
  <c r="A122" i="29"/>
  <c r="F121" i="29"/>
  <c r="E121" i="29"/>
  <c r="D121" i="29"/>
  <c r="C121" i="29"/>
  <c r="A121" i="29"/>
  <c r="F120" i="29"/>
  <c r="E120" i="29"/>
  <c r="D120" i="29"/>
  <c r="C120" i="29"/>
  <c r="A120" i="29"/>
  <c r="F119" i="29"/>
  <c r="E119" i="29"/>
  <c r="D119" i="29"/>
  <c r="C119" i="29"/>
  <c r="A119" i="29"/>
  <c r="F118" i="29"/>
  <c r="E118" i="29"/>
  <c r="D118" i="29"/>
  <c r="C118" i="29"/>
  <c r="A118" i="29"/>
  <c r="F117" i="29"/>
  <c r="E117" i="29"/>
  <c r="A117" i="29"/>
  <c r="C117" i="29"/>
  <c r="D117" i="29"/>
  <c r="F116" i="29"/>
  <c r="E116" i="29"/>
  <c r="D116" i="29"/>
  <c r="C116" i="29"/>
  <c r="A116" i="29"/>
  <c r="A107" i="29"/>
  <c r="F98" i="29"/>
  <c r="E98" i="29"/>
  <c r="D98" i="29"/>
  <c r="C98" i="29"/>
  <c r="A98" i="29"/>
  <c r="F97" i="29"/>
  <c r="E97" i="29"/>
  <c r="D97" i="29"/>
  <c r="C97" i="29"/>
  <c r="A97" i="29"/>
  <c r="F96" i="29"/>
  <c r="E96" i="29"/>
  <c r="D96" i="29"/>
  <c r="C96" i="29"/>
  <c r="A96" i="29"/>
  <c r="F95" i="29"/>
  <c r="E95" i="29"/>
  <c r="D95" i="29"/>
  <c r="C95" i="29"/>
  <c r="A95" i="29"/>
  <c r="F94" i="29"/>
  <c r="E94" i="29"/>
  <c r="D94" i="29"/>
  <c r="C94" i="29"/>
  <c r="A94" i="29"/>
  <c r="F93" i="29"/>
  <c r="E93" i="29"/>
  <c r="D93" i="29"/>
  <c r="C93" i="29"/>
  <c r="A93" i="29"/>
  <c r="F92" i="29"/>
  <c r="E92" i="29"/>
  <c r="D92" i="29"/>
  <c r="C92" i="29"/>
  <c r="A92" i="29"/>
  <c r="F91" i="29"/>
  <c r="E91" i="29"/>
  <c r="D91" i="29"/>
  <c r="C91" i="29"/>
  <c r="A91" i="29"/>
  <c r="F69" i="29"/>
  <c r="E69" i="29"/>
  <c r="F68" i="29"/>
  <c r="E68" i="29"/>
  <c r="F67" i="29"/>
  <c r="E67" i="29"/>
  <c r="F66" i="29"/>
  <c r="E66" i="29"/>
  <c r="F65" i="29"/>
  <c r="E65" i="29"/>
  <c r="F64" i="29"/>
  <c r="E64" i="29"/>
  <c r="F63" i="29"/>
  <c r="E63" i="29"/>
  <c r="F62" i="29"/>
  <c r="E62" i="29"/>
  <c r="F61" i="29"/>
  <c r="E61" i="29"/>
  <c r="F60" i="29"/>
  <c r="E60" i="29"/>
  <c r="F59" i="29"/>
  <c r="F58" i="29"/>
  <c r="E59" i="29"/>
  <c r="E58" i="29"/>
  <c r="D69" i="29"/>
  <c r="D68" i="29"/>
  <c r="D67" i="29"/>
  <c r="D66" i="29"/>
  <c r="D65" i="29"/>
  <c r="D64" i="29"/>
  <c r="D63" i="29"/>
  <c r="D62" i="29"/>
  <c r="D61" i="29"/>
  <c r="D60" i="29"/>
  <c r="D59" i="29"/>
  <c r="D58" i="29"/>
  <c r="C69" i="29"/>
  <c r="C68" i="29"/>
  <c r="C67" i="29"/>
  <c r="C66" i="29"/>
  <c r="C65" i="29"/>
  <c r="C64" i="29"/>
  <c r="C63" i="29"/>
  <c r="C62" i="29"/>
  <c r="C61" i="29"/>
  <c r="C60" i="29"/>
  <c r="C59" i="29"/>
  <c r="C58" i="29"/>
  <c r="A69" i="29"/>
  <c r="A68" i="29"/>
  <c r="A67" i="29"/>
  <c r="A66" i="29"/>
  <c r="A65" i="29"/>
  <c r="A64" i="29"/>
  <c r="A63" i="29"/>
  <c r="A62" i="29"/>
  <c r="A61" i="29"/>
  <c r="A60" i="29"/>
  <c r="A59" i="29"/>
  <c r="A58" i="29"/>
  <c r="F148" i="29" l="1"/>
  <c r="E148" i="29"/>
  <c r="A148" i="29"/>
  <c r="D148" i="29"/>
  <c r="C148" i="29"/>
  <c r="F140" i="29"/>
  <c r="E140" i="29"/>
  <c r="C140" i="29"/>
  <c r="C142" i="29"/>
  <c r="D142" i="29"/>
  <c r="E142" i="29"/>
  <c r="F142" i="29"/>
  <c r="D140" i="29"/>
  <c r="F115" i="29"/>
  <c r="E115" i="29"/>
  <c r="C115" i="29"/>
  <c r="F29" i="29"/>
  <c r="F30" i="29"/>
  <c r="F32" i="29"/>
  <c r="F31" i="29"/>
  <c r="F33" i="29"/>
  <c r="A21" i="29"/>
  <c r="A142" i="29"/>
  <c r="A140" i="29"/>
  <c r="F34" i="29"/>
  <c r="D115" i="29"/>
  <c r="F35" i="29"/>
  <c r="F36" i="29"/>
  <c r="F90" i="29"/>
  <c r="F37" i="29"/>
  <c r="E90" i="29"/>
  <c r="D90" i="29"/>
  <c r="C90" i="29"/>
  <c r="A115" i="29"/>
  <c r="A90" i="29"/>
  <c r="E57" i="29"/>
  <c r="F38" i="29"/>
  <c r="F39" i="29"/>
  <c r="E29" i="29"/>
  <c r="E30" i="29"/>
  <c r="E32" i="29"/>
  <c r="E31" i="29"/>
  <c r="E33" i="29"/>
  <c r="E34" i="29"/>
  <c r="E35" i="29"/>
  <c r="E36" i="29"/>
  <c r="E37" i="29"/>
  <c r="E38" i="29"/>
  <c r="F57" i="29"/>
  <c r="E39" i="29"/>
  <c r="D57" i="29"/>
  <c r="D29" i="29"/>
  <c r="D30" i="29"/>
  <c r="D32" i="29"/>
  <c r="D31" i="29"/>
  <c r="D33" i="29"/>
  <c r="D34" i="29"/>
  <c r="D35" i="29"/>
  <c r="D36" i="29"/>
  <c r="D37" i="29"/>
  <c r="D38" i="29"/>
  <c r="D39" i="29"/>
  <c r="C39" i="29"/>
  <c r="C29" i="29"/>
  <c r="C30" i="29"/>
  <c r="C32" i="29"/>
  <c r="C31" i="29"/>
  <c r="C33" i="29"/>
  <c r="C34" i="29"/>
  <c r="C35" i="29"/>
  <c r="C36" i="29"/>
  <c r="C37" i="29"/>
  <c r="C38" i="29"/>
  <c r="A25" i="29"/>
  <c r="A23" i="29"/>
  <c r="A57" i="29"/>
  <c r="A29" i="29"/>
  <c r="A30" i="29"/>
  <c r="A32" i="29"/>
  <c r="A31" i="29"/>
  <c r="A33" i="29"/>
  <c r="A34" i="29"/>
  <c r="A35" i="29"/>
  <c r="A36" i="29"/>
  <c r="A37" i="29"/>
  <c r="A38" i="29"/>
  <c r="A39" i="29"/>
  <c r="A18" i="29"/>
  <c r="A16" i="29"/>
  <c r="A14" i="29"/>
  <c r="A3" i="29"/>
  <c r="A2" i="29"/>
  <c r="A10" i="29" l="1"/>
  <c r="F56" i="32"/>
  <c r="E2" i="36" l="1"/>
  <c r="B5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tc={76113844-B619-40EF-8730-B9202B6F1BC1}</author>
    <author>tc={5D58AC82-7697-494F-8EB4-506A43B06A98}</author>
  </authors>
  <commentList>
    <comment ref="F31" authorId="0" shapeId="0" xr:uid="{76113844-B619-40EF-8730-B9202B6F1BC1}">
      <text>
        <t>[Threaded comment]
Your version of Excel allows you to read this threaded comment; however, any edits to it will get removed if the file is opened in a newer version of Excel. Learn more: https://go.microsoft.com/fwlink/?linkid=870924
Comment:
    @Njabulo Ndaba could you kindly change these into the respective target group, all the way down and just insert the equals to sign
Reply:
    @Kinyanjui Mungai Done!</t>
      </text>
    </comment>
    <comment ref="E184" authorId="1" shapeId="0" xr:uid="{5D58AC82-7697-494F-8EB4-506A43B06A98}">
      <text>
        <t>[Threaded comment]
Your version of Excel allows you to read this threaded comment; however, any edits to it will get removed if the file is opened in a newer version of Excel. Learn more: https://go.microsoft.com/fwlink/?linkid=870924
Comment:
    @Njabulo NdabaChange just the financing vehicle for each entry below and add the equals sign
Reply:
    @Kinyanjui MungaiDone!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tc={40F2D0F2-4272-48C9-B6EC-7DAA1A1DED02}</author>
    <author>tc={4DE650B5-65D4-458A-B05A-8D4030B959AD}</author>
    <author>tc={4ECB2474-064E-4E5C-A82D-C6CC79DFF2E8}</author>
    <author>tc={1036AAB3-5493-4693-A77E-8B71C14F4C36}</author>
    <author>tc={C38E5C0E-03DD-4FDB-AFB7-C6768A41B917}</author>
    <author>tc={8DD392AB-DE1F-442F-97B8-A7F10C35C3D1}</author>
    <author>tc={575745B6-83BA-4730-AC21-79C2836ACB6F}</author>
    <author>tc={57E73791-6378-467A-9C03-505419D0B265}</author>
    <author>tc={50DA12D7-4683-49A5-915B-743FB7407B34}</author>
    <author>tc={E51B7E50-91C0-4C52-80F0-00F44E1DFDC3}</author>
    <author>tc={44825C1D-AD39-4C89-A6B1-D39A16D17D26}</author>
    <author>tc={D6714BEF-82A3-461A-930B-95A2E5CD7F66}</author>
    <author>tc={2D3CB42A-D306-47AF-98F0-3993D89E81C3}</author>
    <author>tc={39D6CF55-854E-45BA-9CE9-2239BA605C93}</author>
    <author>tc={4293A228-3326-4601-AFE1-9C90F42810BE}</author>
    <author>tc={48998074-016B-4345-A24D-FF586F2DB1D8}</author>
  </authors>
  <commentList>
    <comment ref="F45" authorId="0" shapeId="0" xr:uid="{40F2D0F2-4272-48C9-B6EC-7DAA1A1DED02}">
      <text>
        <t>[Threaded comment]
Your version of Excel allows you to read this threaded comment; however, any edits to it will get removed if the file is opened in a newer version of Excel. Learn more: https://go.microsoft.com/fwlink/?linkid=870924
Comment:
    @Njabulo Ndaba could you kindly change these into the respective target group, all the way down and just insert the equals to sign
Reply:
    @Kinyanjui Mungai Done!</t>
      </text>
    </comment>
    <comment ref="C57" authorId="1" shapeId="0" xr:uid="{4DE650B5-65D4-458A-B05A-8D4030B959AD}">
      <text>
        <t>[Threaded comment]
Your version of Excel allows you to read this threaded comment; however, any edits to it will get removed if the file is opened in a newer version of Excel. Learn more: https://go.microsoft.com/fwlink/?linkid=870924
Comment:
    @Njabulo Ndaba you pretty much here just need to follow what cell C29 did but a few modifications because this is a different column
Reply:
    Got it, thanks!
Reply:
    I did this one for you, just adjust the one's below</t>
      </text>
    </comment>
    <comment ref="A58" authorId="2" shapeId="0" xr:uid="{4ECB2474-064E-4E5C-A82D-C6CC79DFF2E8}">
      <text>
        <t>[Threaded comment]
Your version of Excel allows you to read this threaded comment; however, any edits to it will get removed if the file is opened in a newer version of Excel. Learn more: https://go.microsoft.com/fwlink/?linkid=870924
Comment:
    @Njabulo Ndaba here all you have to do is just adjust for the new tab. So making it P instead of O. As well as Final MSME catalogue instead of MSME policy catalogue. Repeat the same all the way down.
Reply:
    Will do so, thanks Kin!</t>
      </text>
    </comment>
    <comment ref="C73" authorId="3" shapeId="0" xr:uid="{1036AAB3-5493-4693-A77E-8B71C14F4C36}">
      <text>
        <t>[Threaded comment]
Your version of Excel allows you to read this threaded comment; however, any edits to it will get removed if the file is opened in a newer version of Excel. Learn more: https://go.microsoft.com/fwlink/?linkid=870924
Comment:
    @Njabulo Ndaba cell C43 is a good guide as to how this can be done. Just a few modifications.
Reply:
    This has been done for you. Just adjust the ones below. Basically just the name of the sector needs to change</t>
      </text>
    </comment>
    <comment ref="A74" authorId="4" shapeId="0" xr:uid="{C38E5C0E-03DD-4FDB-AFB7-C6768A41B917}">
      <text>
        <t>[Threaded comment]
Your version of Excel allows you to read this threaded comment; however, any edits to it will get removed if the file is opened in a newer version of Excel. Learn more: https://go.microsoft.com/fwlink/?linkid=870924
Comment:
    @Njabulo Ndaba here you just need to replace agriculture part with the sector on the right. Do the same all the way down. Add the equal sign when you finished</t>
      </text>
    </comment>
    <comment ref="E74" authorId="5" shapeId="0" xr:uid="{8DD392AB-DE1F-442F-97B8-A7F10C35C3D1}">
      <text>
        <t>[Threaded comment]
Your version of Excel allows you to read this threaded comment; however, any edits to it will get removed if the file is opened in a newer version of Excel. Learn more: https://go.microsoft.com/fwlink/?linkid=870924
Comment:
    @Njabulo Ndaba please change these for each sector and add the equals when you done. I am doing this for all the Covid-19 and donor-involvement columns which have %</t>
      </text>
    </comment>
    <comment ref="A91" authorId="6" shapeId="0" xr:uid="{575745B6-83BA-4730-AC21-79C2836ACB6F}">
      <text>
        <t>[Threaded comment]
Your version of Excel allows you to read this threaded comment; however, any edits to it will get removed if the file is opened in a newer version of Excel. Learn more: https://go.microsoft.com/fwlink/?linkid=870924
Comment:
    @Njabulo Ndaba here you just need to replace Credit guarantee part with the financing vehicle on the right. Do the same all the way down. Add the equal sign when you finished</t>
      </text>
    </comment>
    <comment ref="C91" authorId="7" shapeId="0" xr:uid="{57E73791-6378-467A-9C03-505419D0B265}">
      <text>
        <t>[Threaded comment]
Your version of Excel allows you to read this threaded comment; however, any edits to it will get removed if the file is opened in a newer version of Excel. Learn more: https://go.microsoft.com/fwlink/?linkid=870924
Comment:
    Basically just the name of the financing vehicle needs to change</t>
      </text>
    </comment>
    <comment ref="C103" authorId="8" shapeId="0" xr:uid="{50DA12D7-4683-49A5-915B-743FB7407B34}">
      <text>
        <t>[Threaded comment]
Your version of Excel allows you to read this threaded comment; however, any edits to it will get removed if the file is opened in a newer version of Excel. Learn more: https://go.microsoft.com/fwlink/?linkid=870924
Comment:
    Basically just the name of the financing vehicle needs to change</t>
      </text>
    </comment>
    <comment ref="E103" authorId="9" shapeId="0" xr:uid="{E51B7E50-91C0-4C52-80F0-00F44E1DFDC3}">
      <text>
        <t>[Threaded comment]
Your version of Excel allows you to read this threaded comment; however, any edits to it will get removed if the file is opened in a newer version of Excel. Learn more: https://go.microsoft.com/fwlink/?linkid=870924
Comment:
    @Njabulo NdabaChange just the financing vehicle for each entry below and add the equals sign
Reply:
    @Kinyanjui MungaiDone!</t>
      </text>
    </comment>
    <comment ref="C116" authorId="10" shapeId="0" xr:uid="{44825C1D-AD39-4C89-A6B1-D39A16D17D26}">
      <text>
        <t>[Threaded comment]
Your version of Excel allows you to read this threaded comment; however, any edits to it will get removed if the file is opened in a newer version of Excel. Learn more: https://go.microsoft.com/fwlink/?linkid=870924
Comment:
    Basically just the name of the enabling infrastructure needs to change</t>
      </text>
    </comment>
    <comment ref="C128" authorId="11" shapeId="0" xr:uid="{D6714BEF-82A3-461A-930B-95A2E5CD7F66}">
      <text>
        <t>[Threaded comment]
Your version of Excel allows you to read this threaded comment; however, any edits to it will get removed if the file is opened in a newer version of Excel. Learn more: https://go.microsoft.com/fwlink/?linkid=870924
Comment:
    Basically just the name of the enabling infratructure needs to change</t>
      </text>
    </comment>
    <comment ref="E128" authorId="12" shapeId="0" xr:uid="{2D3CB42A-D306-47AF-98F0-3993D89E81C3}">
      <text>
        <t>[Threaded comment]
Your version of Excel allows you to read this threaded comment; however, any edits to it will get removed if the file is opened in a newer version of Excel. Learn more: https://go.microsoft.com/fwlink/?linkid=870924
Comment:
    @Njabulo Ndaba adjust each row for the enabling infrastructure and add equals sign
Reply:
    @Kinyanjui MungaiDone!</t>
      </text>
    </comment>
    <comment ref="C143" authorId="13" shapeId="0" xr:uid="{39D6CF55-854E-45BA-9CE9-2239BA605C93}">
      <text>
        <t>[Threaded comment]
Your version of Excel allows you to read this threaded comment; however, any edits to it will get removed if the file is opened in a newer version of Excel. Learn more: https://go.microsoft.com/fwlink/?linkid=870924
Comment:
    Basically changing the W's to U's</t>
      </text>
    </comment>
    <comment ref="C149" authorId="14" shapeId="0" xr:uid="{4293A228-3326-4601-AFE1-9C90F42810BE}">
      <text>
        <t>[Threaded comment]
Your version of Excel allows you to read this threaded comment; however, any edits to it will get removed if the file is opened in a newer version of Excel. Learn more: https://go.microsoft.com/fwlink/?linkid=870924
Comment:
    Basically just the name of the policy type needs to change</t>
      </text>
    </comment>
    <comment ref="C157" authorId="15" shapeId="0" xr:uid="{48998074-016B-4345-A24D-FF586F2DB1D8}">
      <text>
        <t>[Threaded comment]
Your version of Excel allows you to read this threaded comment; however, any edits to it will get removed if the file is opened in a newer version of Excel. Learn more: https://go.microsoft.com/fwlink/?linkid=870924
Comment:
    Basically just the name of the policy type needs to change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tc={5DC36C92-6DF0-49E4-90E4-D999670EE8D2}</author>
    <author>tc={EFD3933C-D86A-4FDE-9912-6977291E6E64}</author>
    <author>tc={318F7FF2-98B7-4037-92F0-5A74EA0DC06B}</author>
    <author>tc={2A84DAE6-8CCF-4A27-AD24-98BBD888EC5E}</author>
    <author>tc={579B9F55-2D70-4442-8E62-CEA03FA721FE}</author>
    <author>tc={EC1D6DAB-1497-4B6D-91F9-8E8E56A0652C}</author>
  </authors>
  <commentList>
    <comment ref="J5" authorId="0" shapeId="0" xr:uid="{5DC36C92-6DF0-49E4-90E4-D999670EE8D2}">
      <text>
        <t>[Threaded comment]
Your version of Excel allows you to read this threaded comment; however, any edits to it will get removed if the file is opened in a newer version of Excel. Learn more: https://go.microsoft.com/fwlink/?linkid=870924
Comment:
    Definition: Development partner is supporting the respective policy. This can be through either financial or non-financial support.</t>
      </text>
    </comment>
    <comment ref="M5" authorId="1" shapeId="0" xr:uid="{EFD3933C-D86A-4FDE-9912-6977291E6E64}">
      <text>
        <t>[Threaded comment]
Your version of Excel allows you to read this threaded comment; however, any edits to it will get removed if the file is opened in a newer version of Excel. Learn more: https://go.microsoft.com/fwlink/?linkid=870924
Comment:
    I would to see the policy at startegic level and at the programme level. I reckon both intervention and facility are meant at programme level. Are these based on a Masterplan/Blueprint/Roadmap at strategic level?
Reply:
    @Nik: Yes, overarching policy and policy action plan can be seen as being at a strategic level whereas policy intervention and policy facility are at programme level. I added this additional information in the definition tab. The policy intreventions and policy facilities are sometimes based on a masterplan but often they are without such a strategic element. Whether the respective policy is based on a masterplan/blueprint/roadmap and the level of detail of this strategy can be checked with column Z
Reply:
    Comment for users: Please consult the tab "definitions" to see a list of the policy types and their corresponding definitions</t>
      </text>
    </comment>
    <comment ref="N5" authorId="2" shapeId="0" xr:uid="{318F7FF2-98B7-4037-92F0-5A74EA0DC06B}">
      <text>
        <t>[Threaded comment]
Your version of Excel allows you to read this threaded comment; however, any edits to it will get removed if the file is opened in a newer version of Excel. Learn more: https://go.microsoft.com/fwlink/?linkid=870924
Comment:
    Should have additional note on how the financing vehicle and enabling infra works, otherwise readers may get confuse
Reply:
    @Nik: We added a comment to the column, so that the user can immediately see what is captured.
Reply:
    Definition of financing vehicle: direct financial assistance for MSMEs through government intervention (e.g., government loan or grant). Please consult the tab "definitions" for a list of all financing vehilces and their corresponding definitions.</t>
      </text>
    </comment>
    <comment ref="O5" authorId="3" shapeId="0" xr:uid="{2A84DAE6-8CCF-4A27-AD24-98BBD888EC5E}">
      <text>
        <t>[Threaded comment]
Your version of Excel allows you to read this threaded comment; however, any edits to it will get removed if the file is opened in a newer version of Excel. Learn more: https://go.microsoft.com/fwlink/?linkid=870924
Comment:
    Definition: tools that indirectly improve the access of MSMEs to financing by enhancing the enabling environment and financing ecosystem (e.g., capacity building of MSMEs or financial institutions, improving the regulatory environment)</t>
      </text>
    </comment>
    <comment ref="T5" authorId="4" shapeId="0" xr:uid="{579B9F55-2D70-4442-8E62-CEA03FA721FE}">
      <text>
        <t>[Threaded comment]
Your version of Excel allows you to read this threaded comment; however, any edits to it will get removed if the file is opened in a newer version of Excel. Learn more: https://go.microsoft.com/fwlink/?linkid=870924
Comment:
    Definition: This refers to whether the policy was implemented as a response to the effects of COVID-19 pandemic</t>
      </text>
    </comment>
    <comment ref="Z5" authorId="5" shapeId="0" xr:uid="{EC1D6DAB-1497-4B6D-91F9-8E8E56A0652C}">
      <text>
        <t>[Threaded comment]
Your version of Excel allows you to read this threaded comment; however, any edits to it will get removed if the file is opened in a newer version of Excel. Learn more: https://go.microsoft.com/fwlink/?linkid=870924
Comment:
    Definition: This column assesses whether an action plan/strategy/roadmap exists for the respective policy and what the level of detail of that strategy is.</t>
      </text>
    </comment>
  </commentList>
</comments>
</file>

<file path=xl/sharedStrings.xml><?xml version="1.0" encoding="utf-8"?>
<sst xmlns="http://schemas.openxmlformats.org/spreadsheetml/2006/main" count="9522" uniqueCount="2280">
  <si>
    <t>MSME financing policies catalogue</t>
  </si>
  <si>
    <r>
      <rPr>
        <b/>
        <sz val="12"/>
        <color theme="1"/>
        <rFont val="Arial Nova"/>
        <family val="2"/>
      </rPr>
      <t xml:space="preserve">Purpose: </t>
    </r>
    <r>
      <rPr>
        <sz val="12"/>
        <color theme="1"/>
        <rFont val="Arial Nova"/>
        <family val="2"/>
      </rPr>
      <t xml:space="preserve">This database catalogues MSME financing policies adopted by African countries. It allows users of the database to filter by specific elements of the database to identify policies that might be of interest for them. </t>
    </r>
  </si>
  <si>
    <t>Name of the tab</t>
  </si>
  <si>
    <t>Short description</t>
  </si>
  <si>
    <t>Dashboard</t>
  </si>
  <si>
    <t>Displays key summary statistics and is based on the MSME financing policy catalogue</t>
  </si>
  <si>
    <t>User guide</t>
  </si>
  <si>
    <t>Explains how the filtering of the MSME financing policy catalogue works</t>
  </si>
  <si>
    <t>Definitions</t>
  </si>
  <si>
    <t>Provides definitions for the key categorizations used in the MSME financing policy catalogue</t>
  </si>
  <si>
    <t>MSME policies catalogue</t>
  </si>
  <si>
    <t>Main database displaying MSME financing policies adopted by African countries</t>
  </si>
  <si>
    <t>Structure of the dashboard</t>
  </si>
  <si>
    <t>SECTION 1: CURRENT MSME FINANCING POLICIES LANDSCAPE</t>
  </si>
  <si>
    <t>SECTION 2: TYPE OF POLICY</t>
  </si>
  <si>
    <t>SECTION 3: TARGETING OF GROUPS</t>
  </si>
  <si>
    <t>SECTION 4: TARGETING OF SECTORS</t>
  </si>
  <si>
    <t>SECTION 5: UTILIZATION OF FINANCING VEHICLES</t>
  </si>
  <si>
    <t>SECTION 6: UTILIZATION OF ENABLING INFRASTRUCTURE TOOLS</t>
  </si>
  <si>
    <t>SECTION 7: MONITORING AND EVALUATION</t>
  </si>
  <si>
    <t>Figure 1. Average number of MSME financing policies per country by region and income group</t>
  </si>
  <si>
    <t>Please choose the region and the income group you are interested in:</t>
  </si>
  <si>
    <t>Region</t>
  </si>
  <si>
    <t>Income</t>
  </si>
  <si>
    <t>Middle Africa</t>
  </si>
  <si>
    <t>High-income</t>
  </si>
  <si>
    <r>
      <t xml:space="preserve">Figure 2. Type of policy by region </t>
    </r>
    <r>
      <rPr>
        <sz val="11"/>
        <color rgb="FF1B2E55"/>
        <rFont val="Arial Nova"/>
        <family val="2"/>
      </rPr>
      <t>(out of total MSME financing policies )</t>
    </r>
  </si>
  <si>
    <r>
      <t xml:space="preserve">Figure 3. Type of policy by income group </t>
    </r>
    <r>
      <rPr>
        <sz val="11"/>
        <color rgb="FF1B2E55"/>
        <rFont val="Arial Nova"/>
        <family val="2"/>
      </rPr>
      <t>(out of total MSME financing policies)</t>
    </r>
  </si>
  <si>
    <t>Please choose the region you are interested in:</t>
  </si>
  <si>
    <t>Please choose the income group you are interested in:</t>
  </si>
  <si>
    <t>Southern Africa</t>
  </si>
  <si>
    <r>
      <t xml:space="preserve">Figure 4. Type of policy by COVID-19 policies </t>
    </r>
    <r>
      <rPr>
        <sz val="11"/>
        <color rgb="FF1B2E55"/>
        <rFont val="Arial Nova"/>
        <family val="2"/>
      </rPr>
      <t>(out of total MSME financing policies )</t>
    </r>
  </si>
  <si>
    <r>
      <t xml:space="preserve">Figure 5. Type of policy by policies with donor involvement </t>
    </r>
    <r>
      <rPr>
        <sz val="11"/>
        <color rgb="FF1B2E55"/>
        <rFont val="Arial Nova"/>
        <family val="2"/>
      </rPr>
      <t>(out of total MSME financing policies)</t>
    </r>
  </si>
  <si>
    <t>SECTION 3: TARGETING of GROUPS</t>
  </si>
  <si>
    <t>Proportion of MSME financing policies in Africa that target groups:</t>
  </si>
  <si>
    <r>
      <t xml:space="preserve">Figure 6. Targeting of groups by region </t>
    </r>
    <r>
      <rPr>
        <sz val="11"/>
        <color rgb="FF1B2E55"/>
        <rFont val="Arial Nova"/>
        <family val="2"/>
      </rPr>
      <t>(out of total MSME financing policies targeting specific groups; multiple mention possible)</t>
    </r>
  </si>
  <si>
    <r>
      <t xml:space="preserve">Figure 7. Targeting of groups by income group </t>
    </r>
    <r>
      <rPr>
        <sz val="11"/>
        <color rgb="FF1B2E55"/>
        <rFont val="Arial Nova"/>
        <family val="2"/>
      </rPr>
      <t>(out of total MSME financing policies targeting specific groups; multiple mention possible)</t>
    </r>
  </si>
  <si>
    <r>
      <t xml:space="preserve">Figure 8. Targeting of groups by COVID-19 policies </t>
    </r>
    <r>
      <rPr>
        <sz val="11"/>
        <color rgb="FF1B2E55"/>
        <rFont val="Arial Nova"/>
        <family val="2"/>
      </rPr>
      <t>(out of total MSME financing policies targeting specific groups; multiple mention possible)</t>
    </r>
  </si>
  <si>
    <r>
      <t xml:space="preserve">Figure 9. Targeting of groups by policies with donor involvement </t>
    </r>
    <r>
      <rPr>
        <sz val="11"/>
        <color rgb="FF1B2E55"/>
        <rFont val="Arial Nova"/>
        <family val="2"/>
      </rPr>
      <t>(out of total MSME financing policies targeting specific groups; multiple mention possible)</t>
    </r>
  </si>
  <si>
    <t>Proportion of MSME financing policies in Africa that target sectors:</t>
  </si>
  <si>
    <r>
      <t xml:space="preserve">Figure 10. Targeting of sectors by region </t>
    </r>
    <r>
      <rPr>
        <sz val="11"/>
        <color rgb="FF1B2E55"/>
        <rFont val="Arial Nova"/>
        <family val="2"/>
      </rPr>
      <t>(out of total MSME financing policies targeting specific sectors; multiple mention possible)</t>
    </r>
  </si>
  <si>
    <r>
      <t xml:space="preserve">Figure 11. Targeting of groups by income group </t>
    </r>
    <r>
      <rPr>
        <sz val="11"/>
        <color rgb="FF1B2E55"/>
        <rFont val="Arial Nova"/>
        <family val="2"/>
      </rPr>
      <t>(out of total MSME financing policies targeting specific sectors; multiple mention possible)</t>
    </r>
  </si>
  <si>
    <t>Northern Africa</t>
  </si>
  <si>
    <t>Lower-middle income</t>
  </si>
  <si>
    <r>
      <t xml:space="preserve">Figure 12. Targeting of sectors by COVID-19 policies </t>
    </r>
    <r>
      <rPr>
        <sz val="11"/>
        <color rgb="FF1B2E55"/>
        <rFont val="Arial Nova"/>
        <family val="2"/>
      </rPr>
      <t>(out of total MSME financing policies targeting specific sectors; multiple mention possible)</t>
    </r>
  </si>
  <si>
    <r>
      <t xml:space="preserve">Figure 13. Targeting of sectors by policies with donor involvement </t>
    </r>
    <r>
      <rPr>
        <sz val="11"/>
        <color rgb="FF1B2E55"/>
        <rFont val="Arial Nova"/>
        <family val="2"/>
      </rPr>
      <t>(out of total MSME financing policies targeting specific sectors; multiple mention possible)</t>
    </r>
  </si>
  <si>
    <r>
      <t xml:space="preserve">Figure 14. Utilization of financing vehicles by region </t>
    </r>
    <r>
      <rPr>
        <sz val="11"/>
        <color rgb="FF1B2E55"/>
        <rFont val="Arial Nova"/>
        <family val="2"/>
      </rPr>
      <t>(out of total MSME financing policies; multiple mention possible)</t>
    </r>
  </si>
  <si>
    <r>
      <t xml:space="preserve">Figure 15. Utilization of financing vehicles by income group </t>
    </r>
    <r>
      <rPr>
        <sz val="11"/>
        <color rgb="FF1B2E55"/>
        <rFont val="Arial Nova"/>
        <family val="2"/>
      </rPr>
      <t>(out of total MSME financing policies; multiple mention possible)</t>
    </r>
  </si>
  <si>
    <r>
      <t xml:space="preserve">Figure 16. Utilization of financing vehicles by COVID-19 policies </t>
    </r>
    <r>
      <rPr>
        <sz val="11"/>
        <color rgb="FF1B2E55"/>
        <rFont val="Arial Nova"/>
        <family val="2"/>
      </rPr>
      <t>(out of total MSME financing policies)</t>
    </r>
  </si>
  <si>
    <r>
      <t xml:space="preserve">Figure 17. Utilization of financing vehicles by policies with donor involvement </t>
    </r>
    <r>
      <rPr>
        <sz val="11"/>
        <color rgb="FF1B2E55"/>
        <rFont val="Arial Nova"/>
        <family val="2"/>
      </rPr>
      <t>(out of total MSME financing policies; multiple mention possible)</t>
    </r>
  </si>
  <si>
    <t>Proportion of MSME financing policies in Africa that utilize enabling infrastructure tools:</t>
  </si>
  <si>
    <r>
      <t xml:space="preserve">Figure 18. Utilization of enabling infrastructure tools by region </t>
    </r>
    <r>
      <rPr>
        <sz val="11"/>
        <color rgb="FF1B2E55"/>
        <rFont val="Arial Nova"/>
        <family val="2"/>
      </rPr>
      <t>(out of total MSME financing policies utilizing enabling infrastructure tools)</t>
    </r>
  </si>
  <si>
    <r>
      <t xml:space="preserve">Figure 19. Utilization of enabling infrastructure tools by income group </t>
    </r>
    <r>
      <rPr>
        <sz val="11"/>
        <color rgb="FF1B2E55"/>
        <rFont val="Arial Nova"/>
        <family val="2"/>
      </rPr>
      <t>(out of total MSME financing policies utilizing enabling infrastructure tools)</t>
    </r>
  </si>
  <si>
    <r>
      <t xml:space="preserve">Figure 20. Utilization of enabling infrastructure tools by COVID-19 policies </t>
    </r>
    <r>
      <rPr>
        <sz val="11"/>
        <color rgb="FF1B2E55"/>
        <rFont val="Arial Nova"/>
        <family val="2"/>
      </rPr>
      <t>(out of total MSME financing policies utilizing enabling infrastructure tools; multiple mention possible)</t>
    </r>
  </si>
  <si>
    <r>
      <t xml:space="preserve">Figure 21. Utilization of enabling infrastructure tools by policies with donor involvement </t>
    </r>
    <r>
      <rPr>
        <sz val="11"/>
        <color rgb="FF1B2E55"/>
        <rFont val="Arial Nova"/>
        <family val="2"/>
      </rPr>
      <t>(out of total MSME financing policies utilizing enabling infrastructure tools)</t>
    </r>
  </si>
  <si>
    <r>
      <t xml:space="preserve">Figure 23. Monitoring and evaluation by region </t>
    </r>
    <r>
      <rPr>
        <sz val="11"/>
        <color rgb="FF1B2E55"/>
        <rFont val="Arial Nova"/>
        <family val="2"/>
      </rPr>
      <t>(out of total MSME financing policies)</t>
    </r>
  </si>
  <si>
    <r>
      <t xml:space="preserve">Figure 24. Monitoring and evaluation by income group </t>
    </r>
    <r>
      <rPr>
        <sz val="11"/>
        <color rgb="FF1B2E55"/>
        <rFont val="Arial Nova"/>
        <family val="2"/>
      </rPr>
      <t>(out of total MSME financing policies)</t>
    </r>
  </si>
  <si>
    <r>
      <t xml:space="preserve">Figure 25. Monitoring and evaluation by COVID-19 policies </t>
    </r>
    <r>
      <rPr>
        <sz val="11"/>
        <color rgb="FF1B2E55"/>
        <rFont val="Arial Nova"/>
        <family val="2"/>
      </rPr>
      <t>(out of total MSME financing policies)</t>
    </r>
  </si>
  <si>
    <r>
      <t xml:space="preserve">Figure 26. Monitoring and evaluation - policies with donor involvement </t>
    </r>
    <r>
      <rPr>
        <sz val="11"/>
        <color rgb="FF1B2E55"/>
        <rFont val="Arial Nova"/>
        <family val="2"/>
      </rPr>
      <t>(out of total MSME financing policies)</t>
    </r>
  </si>
  <si>
    <t>The MSME financing policy catalogue can be used to filter the database by different aspects. Please find below some considerations regarding how to filter the database</t>
  </si>
  <si>
    <t>The following columns used drop-down menus: C; D; E; J; M; U; V; W; X; Y</t>
  </si>
  <si>
    <t>These columns can just be filtered by ticking or unticking the different filtering options</t>
  </si>
  <si>
    <t>An example for this is column C through which the database can be filtered by regions</t>
  </si>
  <si>
    <t>The following columns allowed to use multiple mentioning: N; O; P; Q; R; U</t>
  </si>
  <si>
    <t xml:space="preserve">These columns should be filtered by typing in the terms of the lists on which the content of these columns are based on. </t>
  </si>
  <si>
    <t>An example for this is column N through which the database can be filtered by the financing vehicle or vehilces utilised by the policy. Because the policy might use multiple financing vehilces, this column allows multiple mentioning. If you want to filter the database, for instance, by policies that use credit guarantee schemes, then you need to type in 'Credit guarantee' into the filter of column N</t>
  </si>
  <si>
    <t>Please find below the lists that were utilised for these columns.</t>
  </si>
  <si>
    <t>Financing vehicle(s)</t>
  </si>
  <si>
    <t>Enabling infrastructure component(s)</t>
  </si>
  <si>
    <t>Target group(s)</t>
  </si>
  <si>
    <t>Target sector(s)</t>
  </si>
  <si>
    <t>Channelling institutions</t>
  </si>
  <si>
    <t>COVID-19 policy categorization</t>
  </si>
  <si>
    <t>Credit guarantee</t>
  </si>
  <si>
    <t>Payment system infrastructure</t>
  </si>
  <si>
    <t>Women</t>
  </si>
  <si>
    <t>Agriculture</t>
  </si>
  <si>
    <t>Commercial banks</t>
  </si>
  <si>
    <t>Fiscal policy</t>
  </si>
  <si>
    <t>Direct lending</t>
  </si>
  <si>
    <t>Stock market development</t>
  </si>
  <si>
    <t>Youth</t>
  </si>
  <si>
    <t>Trade</t>
  </si>
  <si>
    <t>MFIs</t>
  </si>
  <si>
    <t>Stimulus package</t>
  </si>
  <si>
    <t>Grants and subsidies</t>
  </si>
  <si>
    <t>Collateral registry</t>
  </si>
  <si>
    <t>Micro enterprises</t>
  </si>
  <si>
    <t>Manufacturing</t>
  </si>
  <si>
    <t>MNOs</t>
  </si>
  <si>
    <t>SME finance</t>
  </si>
  <si>
    <t>Early-stage finance</t>
  </si>
  <si>
    <t>Regulatory environment</t>
  </si>
  <si>
    <t>Rural livelihoods</t>
  </si>
  <si>
    <t>Informal sector</t>
  </si>
  <si>
    <t>Community groups</t>
  </si>
  <si>
    <t>Digital financing</t>
  </si>
  <si>
    <t>Trade/supply chain finance</t>
  </si>
  <si>
    <t>Capacity building MSMEs</t>
  </si>
  <si>
    <t>Urban livelihoods</t>
  </si>
  <si>
    <t>Financial sector</t>
  </si>
  <si>
    <t>State-owned bank</t>
  </si>
  <si>
    <t>Development bank support</t>
  </si>
  <si>
    <t>Equity investment or incentives</t>
  </si>
  <si>
    <t>Credit information system</t>
  </si>
  <si>
    <t>Migrants</t>
  </si>
  <si>
    <t>Digital economy</t>
  </si>
  <si>
    <t>FinTechs</t>
  </si>
  <si>
    <t>Loan restructure</t>
  </si>
  <si>
    <t>Deferral/restructuring of payments</t>
  </si>
  <si>
    <t>Capacity building financial institutions</t>
  </si>
  <si>
    <t>People with disabilities</t>
  </si>
  <si>
    <t>Tourism</t>
  </si>
  <si>
    <t>Village banks</t>
  </si>
  <si>
    <t>Currency liquidity</t>
  </si>
  <si>
    <t>MSME procurement</t>
  </si>
  <si>
    <t>Constraint/landscape assessment</t>
  </si>
  <si>
    <t>Adversely affected businesses by the COVID-19 crisis</t>
  </si>
  <si>
    <t>Transport</t>
  </si>
  <si>
    <t>Other financial institutions</t>
  </si>
  <si>
    <t>Consumer protection</t>
  </si>
  <si>
    <t>Enabling infrastructure</t>
  </si>
  <si>
    <t>Incentives to financial institutions</t>
  </si>
  <si>
    <t>Start ups</t>
  </si>
  <si>
    <t>Energy</t>
  </si>
  <si>
    <t>Trainings institutions</t>
  </si>
  <si>
    <t>Interest rate</t>
  </si>
  <si>
    <t>Informal businesses</t>
  </si>
  <si>
    <t>Health care</t>
  </si>
  <si>
    <t>NGOs</t>
  </si>
  <si>
    <t>Not applicable</t>
  </si>
  <si>
    <t>Other</t>
  </si>
  <si>
    <t>Construction</t>
  </si>
  <si>
    <t>Business associations</t>
  </si>
  <si>
    <t>No specific target group</t>
  </si>
  <si>
    <t>Mining</t>
  </si>
  <si>
    <t>Other non-financial institutions</t>
  </si>
  <si>
    <t>Services</t>
  </si>
  <si>
    <t>No specified channelling institution</t>
  </si>
  <si>
    <t>No specific target sector</t>
  </si>
  <si>
    <t>Definitions for the drop-down options for type of policy, financing vehicle and enabling infrastructure</t>
  </si>
  <si>
    <t>Term</t>
  </si>
  <si>
    <t>Description</t>
  </si>
  <si>
    <t>COVID-19 policy</t>
  </si>
  <si>
    <t>This refers to whether a donor agency is supporting the respective policy. This can be through both financial or non-financial support.</t>
  </si>
  <si>
    <t>Channelling institituion</t>
  </si>
  <si>
    <t>Type of non-government institutions supporting the implementation of the MSME financing policy</t>
  </si>
  <si>
    <t>Type of policy</t>
  </si>
  <si>
    <t>Overarching policy</t>
  </si>
  <si>
    <t>Policy action plan</t>
  </si>
  <si>
    <t>Policy intervention</t>
  </si>
  <si>
    <t>Policy facility</t>
  </si>
  <si>
    <t>Financing vehicles</t>
  </si>
  <si>
    <t xml:space="preserve">Provision of third-party credit risk mitigation to lenders through the absorption of a portion of the lender’s losses on the loans made to SMEs in case of default </t>
  </si>
  <si>
    <t xml:space="preserve">Provision or subsidizing of credits towards MSMEs which is financed by the government </t>
  </si>
  <si>
    <t xml:space="preserve">Provision of financial assistance that does not have to be repaid and/or granting of subsidies to MSMEs </t>
  </si>
  <si>
    <t>Provision or facilitation of early-stage financing</t>
  </si>
  <si>
    <t>Provision or facilitation of trade/supply chain finance</t>
  </si>
  <si>
    <t>Equity investments into MSMEs or provision of incentives to invest into MSMEs by the government</t>
  </si>
  <si>
    <t>Granting a deferral or restructuring of tax payments or loan repayments</t>
  </si>
  <si>
    <t>Restricting certain public procurement opportunities only to MSMEs and/or improving the access of MSMEs to public procurement opportunities</t>
  </si>
  <si>
    <t>Policy tools that are targeting the enabling environment for MSME financing</t>
  </si>
  <si>
    <t xml:space="preserve">Improving the payment and settlement system to support MSMEs </t>
  </si>
  <si>
    <t>Making stock markets more accessible for MSMEs and encouraging listing of MSMEs on the stock market</t>
  </si>
  <si>
    <t>Other financial infrastructure components</t>
  </si>
  <si>
    <t xml:space="preserve">Interventions that improve other financial sector infrastructure elements such as collateral registries or auditing standards to support MSMEs </t>
  </si>
  <si>
    <t>Interventions that improve the regulatory environment for MSME finance (e.g., competition, enabling alternative finance approaches, creditor rights, insolvency procedures, business registration)</t>
  </si>
  <si>
    <t>Capacity building activities for MSMEs that is related to financing</t>
  </si>
  <si>
    <t>Interventions that support the establishemnt/improvement of the credit information system in the context of MSME finance</t>
  </si>
  <si>
    <t xml:space="preserve">Provision of technical assistance that aims to increase the capacity of financial institutions to lend to SMEs effectively and at scale </t>
  </si>
  <si>
    <t>Research on constraints for MSMEs in the market to access financing options/assessment of SME financing landscape (only if it's a planned policy intervention, not when it has been conducted before designing the policy intervention)</t>
  </si>
  <si>
    <t>Provision of incentives to financial institutions to provide financial products to MSMEs</t>
  </si>
  <si>
    <t>African average</t>
  </si>
  <si>
    <t>Target group</t>
  </si>
  <si>
    <t>All regions</t>
  </si>
  <si>
    <t>Covid-19 policies</t>
  </si>
  <si>
    <t>Policies with donor-involvement</t>
  </si>
  <si>
    <t>All policies</t>
  </si>
  <si>
    <t>Income group</t>
  </si>
  <si>
    <t xml:space="preserve">Region  </t>
  </si>
  <si>
    <t>Target Sectors</t>
  </si>
  <si>
    <t>Income Group</t>
  </si>
  <si>
    <t>Target sector</t>
  </si>
  <si>
    <t>All income groups</t>
  </si>
  <si>
    <t>COVID-19 policies</t>
  </si>
  <si>
    <t xml:space="preserve">Policies with donor-involvement </t>
  </si>
  <si>
    <t xml:space="preserve">Enabling Infrastructure </t>
  </si>
  <si>
    <t xml:space="preserve">Income Group </t>
  </si>
  <si>
    <t xml:space="preserve">Region </t>
  </si>
  <si>
    <t xml:space="preserve">Type of Policy </t>
  </si>
  <si>
    <t>Financing vehicle</t>
  </si>
  <si>
    <t>Monitoring and evaluation</t>
  </si>
  <si>
    <t>% of policies with numerical targets</t>
  </si>
  <si>
    <t>% of policies with evaluation frameworks</t>
  </si>
  <si>
    <t>Number of policies</t>
  </si>
  <si>
    <t>Country</t>
  </si>
  <si>
    <t>Number of donor-driven policies</t>
  </si>
  <si>
    <t>Western Africa</t>
  </si>
  <si>
    <t>Algeria</t>
  </si>
  <si>
    <t>Number of policies with donor-involvement in Northern Africa</t>
  </si>
  <si>
    <t>Average number of policies per country in Africa</t>
  </si>
  <si>
    <t>Number of policies in chosen region</t>
  </si>
  <si>
    <t>Average number of policies per country based on region</t>
  </si>
  <si>
    <t>Number of countries by region</t>
  </si>
  <si>
    <t>Number of countries (whole of Africa)</t>
  </si>
  <si>
    <t>Number of policies in chosen income group</t>
  </si>
  <si>
    <t>Average number of countries by Income group</t>
  </si>
  <si>
    <t>Number of countries by Income group</t>
  </si>
  <si>
    <t>Number of policies are COVID-19 related</t>
  </si>
  <si>
    <t>% of Covid-19 related policies</t>
  </si>
  <si>
    <t>Number of policies are COVID-19 related by region</t>
  </si>
  <si>
    <t>% of Covid-19 related policies by region</t>
  </si>
  <si>
    <t>Number of policies are COVID-19 related by Income group</t>
  </si>
  <si>
    <t>% of Covid-19 related policies by Income group</t>
  </si>
  <si>
    <t>% of donor-driven policies</t>
  </si>
  <si>
    <t>Number of donor-driven policies by region</t>
  </si>
  <si>
    <t>% of donor-driven policies by region</t>
  </si>
  <si>
    <t>Number of donor-driven policies by Income group</t>
  </si>
  <si>
    <t>% of donor-driven policies by Income group</t>
  </si>
  <si>
    <t>Top 5 groups that are targeted and % of total policies that target them</t>
  </si>
  <si>
    <t>Group</t>
  </si>
  <si>
    <t>Number of policies by region</t>
  </si>
  <si>
    <t>Number of policies by Income group</t>
  </si>
  <si>
    <t>Number of policies Covid-19 related</t>
  </si>
  <si>
    <t>Number of policies Donor-involvement</t>
  </si>
  <si>
    <t>% of total policy targeting group</t>
  </si>
  <si>
    <t>% of policies by region</t>
  </si>
  <si>
    <t>% of policies by Income group</t>
  </si>
  <si>
    <t>% of policies Covid-19 related</t>
  </si>
  <si>
    <t>% of policies Donor-involvement</t>
  </si>
  <si>
    <t>Top 5 sectors that are targeted and % of total policies that target them</t>
  </si>
  <si>
    <t>Sector</t>
  </si>
  <si>
    <t>% of total policy targeting sector</t>
  </si>
  <si>
    <t>% of policies</t>
  </si>
  <si>
    <t>Financing Vehicle</t>
  </si>
  <si>
    <t xml:space="preserve">Collateral registry </t>
  </si>
  <si>
    <t>% of policies that have enabling infrastructure elements</t>
  </si>
  <si>
    <t>Policies</t>
  </si>
  <si>
    <t>Covid-19 related</t>
  </si>
  <si>
    <t xml:space="preserve"> Donor-involvement</t>
  </si>
  <si>
    <t>Number of policies with evaluation frameworks</t>
  </si>
  <si>
    <t>Number of policies with numerical targets</t>
  </si>
  <si>
    <t>Type of policies</t>
  </si>
  <si>
    <t>Unique countries by region</t>
  </si>
  <si>
    <t>Unique countries by income group</t>
  </si>
  <si>
    <t>Angola</t>
  </si>
  <si>
    <t>Benin</t>
  </si>
  <si>
    <t>Botswana</t>
  </si>
  <si>
    <t>Upper-middle-income</t>
  </si>
  <si>
    <t>Burkina Faso</t>
  </si>
  <si>
    <t>Low-income</t>
  </si>
  <si>
    <t xml:space="preserve">Burundi </t>
  </si>
  <si>
    <t>Eastern Africa</t>
  </si>
  <si>
    <t>Cameroon</t>
  </si>
  <si>
    <t>Cape Verde</t>
  </si>
  <si>
    <t>Central African Republic</t>
  </si>
  <si>
    <t>Chad</t>
  </si>
  <si>
    <t>Comoros</t>
  </si>
  <si>
    <t>Côte d'Ivoire</t>
  </si>
  <si>
    <t>Democratic Republic of the Congo</t>
  </si>
  <si>
    <t>Djibouti</t>
  </si>
  <si>
    <t>Egypt</t>
  </si>
  <si>
    <t>Equatorial Guinea</t>
  </si>
  <si>
    <t>Eritrea</t>
  </si>
  <si>
    <t>Eswatini</t>
  </si>
  <si>
    <t>Ethiopia</t>
  </si>
  <si>
    <t>Gabon</t>
  </si>
  <si>
    <t>Ghana</t>
  </si>
  <si>
    <t>Guinea</t>
  </si>
  <si>
    <t>Guinea Bissau</t>
  </si>
  <si>
    <t>Kenya</t>
  </si>
  <si>
    <t>Lesotho</t>
  </si>
  <si>
    <t>Liberia</t>
  </si>
  <si>
    <t>Libya</t>
  </si>
  <si>
    <t>Madagascar</t>
  </si>
  <si>
    <t>Malawi</t>
  </si>
  <si>
    <t>Mali</t>
  </si>
  <si>
    <t>Mauritania</t>
  </si>
  <si>
    <t>Mauritius</t>
  </si>
  <si>
    <t>Morocco</t>
  </si>
  <si>
    <t>Mozambique</t>
  </si>
  <si>
    <t>Namibia</t>
  </si>
  <si>
    <t>Niger</t>
  </si>
  <si>
    <t>Nigeria</t>
  </si>
  <si>
    <t xml:space="preserve">Nigeria </t>
  </si>
  <si>
    <t>Republic of Congo (Congo-Brazzaville)</t>
  </si>
  <si>
    <t>Rwanda</t>
  </si>
  <si>
    <t>São Tomé and Principe</t>
  </si>
  <si>
    <t>Senegal</t>
  </si>
  <si>
    <t>Seychelles</t>
  </si>
  <si>
    <t>Sierra Leone</t>
  </si>
  <si>
    <t>Somalia</t>
  </si>
  <si>
    <t>South Africa</t>
  </si>
  <si>
    <t>South Sudan</t>
  </si>
  <si>
    <t>Sudan</t>
  </si>
  <si>
    <t>Tanzania</t>
  </si>
  <si>
    <t>The Gambia</t>
  </si>
  <si>
    <t>Togo</t>
  </si>
  <si>
    <t>Tunisia</t>
  </si>
  <si>
    <t>Uganda</t>
  </si>
  <si>
    <t>Zambia</t>
  </si>
  <si>
    <t>Zimbabwe</t>
  </si>
  <si>
    <t>Background information</t>
  </si>
  <si>
    <t>Policy design &amp; tools</t>
  </si>
  <si>
    <t xml:space="preserve">Policy details </t>
  </si>
  <si>
    <t>Performance indicators</t>
  </si>
  <si>
    <t>Source of information</t>
  </si>
  <si>
    <t>Name of the policy</t>
  </si>
  <si>
    <t>Income level group</t>
  </si>
  <si>
    <t>AFI member</t>
  </si>
  <si>
    <t>Source material language</t>
  </si>
  <si>
    <t>Date of issue</t>
  </si>
  <si>
    <t>Timeframe/expiry data</t>
  </si>
  <si>
    <t>Policy issuing authority</t>
  </si>
  <si>
    <t>Development partner involvement</t>
  </si>
  <si>
    <t>Implementing actor(s)</t>
  </si>
  <si>
    <t>Enabling infrastructure tools</t>
  </si>
  <si>
    <t>Channelling institution(s)</t>
  </si>
  <si>
    <t>Numerical target</t>
  </si>
  <si>
    <t>M&amp;E system in place</t>
  </si>
  <si>
    <t xml:space="preserve"> Action Plan with clear responsibilities</t>
  </si>
  <si>
    <t>Objective of the policy</t>
  </si>
  <si>
    <t>Description of the main interventions of the policy</t>
  </si>
  <si>
    <t>Numerical target details</t>
  </si>
  <si>
    <t>Sub-interventions/facilities specified</t>
  </si>
  <si>
    <t>MSME definition</t>
  </si>
  <si>
    <t>Legal/regulatory framework</t>
  </si>
  <si>
    <t>Link to SDGs</t>
  </si>
  <si>
    <t>Number of MSMEs reached</t>
  </si>
  <si>
    <t xml:space="preserve">Other </t>
  </si>
  <si>
    <t>SME Credit Guarantee Fund (FGAR)</t>
  </si>
  <si>
    <t>No</t>
  </si>
  <si>
    <t xml:space="preserve">English </t>
  </si>
  <si>
    <t>No specified expiry date</t>
  </si>
  <si>
    <t>Ministry of Industry and Mines</t>
  </si>
  <si>
    <t xml:space="preserve">No </t>
  </si>
  <si>
    <t>No enabling infrastructure elements</t>
  </si>
  <si>
    <t>Manufacturing, Trade</t>
  </si>
  <si>
    <t>Number of employees, revenue/turnover and asset value</t>
  </si>
  <si>
    <t>No information available</t>
  </si>
  <si>
    <t>The main objective of the FGAR is to facilitate access to medium-term bank financing in order to support the start-up and expansion of SMEs, by granting credit guarantees to commercial banks, in order to complete the financial package of projects. businesses, viable and oriented towards the creation and / or the development of enterprises.</t>
  </si>
  <si>
    <r>
      <rPr>
        <b/>
        <sz val="10"/>
        <color theme="1"/>
        <rFont val="Arial Nova"/>
        <family val="2"/>
      </rPr>
      <t xml:space="preserve">Credit guarantee: </t>
    </r>
    <r>
      <rPr>
        <sz val="10"/>
        <color theme="1"/>
        <rFont val="Arial Nova"/>
        <family val="2"/>
      </rPr>
      <t xml:space="preserve">
*Grant credit guarantee to SMEs
* Guarantee the relays of programs set up for SMEs by international institutions
* Provide advice and technical assistance to SMEs benefiting from the Fund Guarantee
* Undertake any project of partnership with the institutions activating within the framework of the promotion and the development of the SME
* Undertake any action aimed at the adoption of measures relating to the promotion and support of SMEs in the framework of the guarantee of investment credits.</t>
    </r>
  </si>
  <si>
    <t>No numerical target specified</t>
  </si>
  <si>
    <t>Evaluation not mandated by policy implementing authority</t>
  </si>
  <si>
    <t>Micro: 
i) 1-9 employees
ii) Annual Turnover of 40m DZD, year end statement 20m DZD
Small: 
i) 10-49 employees
ii) Annual Turnover of 400m DZD, year end statement 200m DZD
Medium: 
i) 50-250 employees
ii) Annual Turnover of 4b DZD, year end statement 1b DZD</t>
  </si>
  <si>
    <t>Executive Decree No. 02-373 of 6 Ramadhan 1423</t>
  </si>
  <si>
    <t>No link</t>
  </si>
  <si>
    <t>2289 projects supported</t>
  </si>
  <si>
    <t xml:space="preserve"> In total, it had backed AD69bn (€500.1m) in loans as of September
2018, supporting nearly 70,000 jobs. </t>
  </si>
  <si>
    <t>https://www.investdz.com/2019/07/presentation-sme-credit-guarantee-EN.html
https://www.pwc.fr/fr/assets/files/pdf/2019/02/pwc-the-report-algeria-2018.pdf
https://www.oecd-ilibrary.org/sites/9789264304161-10-en/index.html?itemId=/content/component/9789264304161-10-en
https://www.fgar.dz/portal/fr/content/l%C3%A9gislation</t>
  </si>
  <si>
    <t>O Instituto Nacional de Apoio as Micro, Pequenas e Médias Empresas (INAPEM)</t>
  </si>
  <si>
    <t>Yes</t>
  </si>
  <si>
    <t xml:space="preserve">Portuguese </t>
  </si>
  <si>
    <t>No information found</t>
  </si>
  <si>
    <t>National Institute of Small and Medium Enterprises - IPANEM</t>
  </si>
  <si>
    <t>Direct lending, Enabling infrastructure</t>
  </si>
  <si>
    <t>No definition</t>
  </si>
  <si>
    <t>* Constitute the catalyst for the growth of a competitive national private business fabric and aimed at increasing national production.</t>
  </si>
  <si>
    <r>
      <rPr>
        <b/>
        <sz val="10"/>
        <color theme="1"/>
        <rFont val="Arial Nova"/>
        <family val="2"/>
      </rPr>
      <t xml:space="preserve">Direct lending: </t>
    </r>
    <r>
      <rPr>
        <sz val="10"/>
        <color theme="1"/>
        <rFont val="Arial Nova"/>
        <family val="2"/>
      </rPr>
      <t>PAC Credit Support Program</t>
    </r>
    <r>
      <rPr>
        <b/>
        <sz val="10"/>
        <color theme="1"/>
        <rFont val="Arial Nova"/>
        <family val="2"/>
      </rPr>
      <t xml:space="preserve">
Capacity building MSMEs: </t>
    </r>
    <r>
      <rPr>
        <sz val="10"/>
        <color theme="1"/>
        <rFont val="Arial Nova"/>
        <family val="2"/>
      </rPr>
      <t>Body of the indirect administration of the Angolan State, which is generally responsible for implementing policies and strategies in the field of training and financing of micro, small and medium-sized companies</t>
    </r>
    <r>
      <rPr>
        <b/>
        <sz val="10"/>
        <color theme="1"/>
        <rFont val="Arial Nova"/>
        <family val="2"/>
      </rPr>
      <t>.</t>
    </r>
  </si>
  <si>
    <t>No evaluation and no information available</t>
  </si>
  <si>
    <t>PAC Credit Support Program (sub-intervention not included here)</t>
  </si>
  <si>
    <t>Not specified</t>
  </si>
  <si>
    <t>Law 30/11</t>
  </si>
  <si>
    <t>http://www.inapem.gov.ao/</t>
  </si>
  <si>
    <t>Fundo Activo de Capital de Risco Angolano (FACRA)</t>
  </si>
  <si>
    <t>Agriculture, Construction, Digital Economy, Service</t>
  </si>
  <si>
    <t>* To foster innovation and entrepreneurship through investment in Micro, Small and Medium Enterprises in order to catalyze local production in many sectors of the real economy.</t>
  </si>
  <si>
    <r>
      <t xml:space="preserve">Earyl-stage finance: </t>
    </r>
    <r>
      <rPr>
        <sz val="10"/>
        <color theme="1"/>
        <rFont val="Arial Nova"/>
        <family val="2"/>
      </rPr>
      <t>As a government-backed venture capital fund, FACRA is a powerful instrument for the diversification of the Angolan economy. The Fund plays a particularly important role due to the current macro-economic environment, where access to financing by SMEs is difficult and the relatively small pool of skilled local workforce often impedes business expansion. FACRA provides alternative, stable long-term equity funding to local and foreign entrepreneurs looking to enter the Angolan market. Organizations that FACRA invests in also benefit from expert business support in both a strategic and financial capacity during the business life cycle.</t>
    </r>
  </si>
  <si>
    <t>Presidential Decree 108-12 of June 7</t>
  </si>
  <si>
    <t>http://www.facra-angola.com/about-facra/</t>
  </si>
  <si>
    <t>Inquérito sobre o Impacto Covid-19 nas PME's referente a Agosto</t>
  </si>
  <si>
    <t>Portuguese</t>
  </si>
  <si>
    <t>Banco Nacionale de Angola (central bank)</t>
  </si>
  <si>
    <t>* Obtaining information on the impact of the pandemic Covid-19 in their productive and commercial activity, with a view to assisting their respective companies.</t>
  </si>
  <si>
    <r>
      <rPr>
        <b/>
        <sz val="10"/>
        <color theme="1"/>
        <rFont val="Arial Nova"/>
        <family val="2"/>
      </rPr>
      <t xml:space="preserve">Constraint/landscape assessment: </t>
    </r>
    <r>
      <rPr>
        <sz val="10"/>
        <color theme="1"/>
        <rFont val="Arial Nova"/>
        <family val="2"/>
      </rPr>
      <t>In view of the current context that the Angolan economy is experiencing, and in particular the business sector, the National Bank of Angola (BNA) developed a survey aimed exclusively at Small and Medium Enterprises (SMEs), with the To this end, all companies of this size class, grouped in different sectors of economic activity (agriculture, animal production, hunting, forestry and fishing, extractive industries, manufacturing, construction, wholesale and retail trade, transport and storage, accommodation and catering, information and communication activities, real estate activities, among others).</t>
    </r>
  </si>
  <si>
    <t>No legal/regulatory framework specified</t>
  </si>
  <si>
    <t>https://www.bna.ao/Conteudos/Temas/lista_temas.aspx?idc=145&amp;idsc=17008&amp;idl=1</t>
  </si>
  <si>
    <t>Plano de Desenvolvimento Nacional
2018-2022</t>
  </si>
  <si>
    <t>Ministry of Economy and Planning</t>
  </si>
  <si>
    <t>Ministry of Public Administration, Labor and Social Security</t>
  </si>
  <si>
    <t>Detailed</t>
  </si>
  <si>
    <t>* To support entrepreneurship and initiative through capacity building in entrepreneurship and support for the creation of small businesses, to increase the possibilities of job creation.</t>
  </si>
  <si>
    <r>
      <rPr>
        <b/>
        <sz val="10"/>
        <color theme="1"/>
        <rFont val="Arial Nova"/>
        <family val="2"/>
      </rPr>
      <t>Capacity building MSMEs:</t>
    </r>
    <r>
      <rPr>
        <sz val="10"/>
        <color theme="1"/>
        <rFont val="Arial Nova"/>
        <family val="2"/>
      </rPr>
      <t xml:space="preserve"> Organize capacity building actions for entrepreneurs in business management techniques.</t>
    </r>
    <r>
      <rPr>
        <b/>
        <sz val="10"/>
        <color theme="1"/>
        <rFont val="Arial Nova"/>
        <family val="2"/>
      </rPr>
      <t xml:space="preserve">
Direct lending: </t>
    </r>
    <r>
      <rPr>
        <sz val="10"/>
        <color theme="1"/>
        <rFont val="Arial Nova"/>
        <family val="2"/>
      </rPr>
      <t>Encourage the creation of new Micro, Small and Medium Enterprises (MSMEs) linked to the fisheries sector, Saland Aquaculture, through the training of operators and the provision of micro-credit and credit with subsidised interest.</t>
    </r>
  </si>
  <si>
    <t>Target 3.2: By 2022, 10,000 people trained in entrepreneurship within the framework of the
Entrepreneurship in the Community
Target 3.3: By 2022, 5,000 people (selected from the universe of 10,000 trained in entrepreneurship)
benefiting from micro-credit for small business start-ups</t>
  </si>
  <si>
    <t>SDG 8</t>
  </si>
  <si>
    <t>https://www.cabri-sbo.org/pt/documents/national-development-plan-pnd-2018-2022</t>
  </si>
  <si>
    <t>Angola Enterprise Program</t>
  </si>
  <si>
    <t>English</t>
  </si>
  <si>
    <t>Ministry of Economy and Planning, UNDP</t>
  </si>
  <si>
    <t>Ministry of Planning (MINPLAN), Ministry of Public Administration, Employment and Social Security (MAPESS), Ministry of Family and Promotion of Women (MINFAMU), Ministry of Commerce (MINCOM), Ministry of Finance (MINFIN), Ministry of Industry, Ministry of Fisheries, Central Bank (BNA), Network of Micro-finance Institutions (RASM), Chamber of Commerce and Industry, Angolan Women’s Entrepreneurs Federation (FMEA), Chevron-Texaco, UND</t>
  </si>
  <si>
    <t>Capacity building MSMEs, Constraint/landscape assessment, Incentives to financial institutions</t>
  </si>
  <si>
    <t>* To support deepening of the commercial financial sector to ensure sustainable access to financial services for small and medium enterprises while supporting the growth and development of microfinance institutions who will offer credit to the low-income population, in particular, micro enterprises.
* The Business Development Services component of the Angola Enterprise Program expects to identify and overcome the main barriers to development and growth, faced by formal and informal micro, small and medium enterprises in Angola today. Through the provision of incubators, and business development services, the program will support the launching of new initiatives and the expansion of businesses throughout the country.</t>
  </si>
  <si>
    <r>
      <rPr>
        <b/>
        <sz val="10"/>
        <color theme="1"/>
        <rFont val="Arial Nova"/>
        <family val="2"/>
      </rPr>
      <t>Capacity building financial institutions</t>
    </r>
    <r>
      <rPr>
        <sz val="10"/>
        <color theme="1"/>
        <rFont val="Arial Nova"/>
        <family val="2"/>
      </rPr>
      <t xml:space="preserve">: The consolidation of existing micro-credit projects in micro-credit institutions; Technical assistance in areas which have been key to the development of microfinance institutions in other countries such as governance, human resource management, financial management, MIS, market studies, product development, training of SME loan officers, creation of a credit information data base, etc.; The establishment of model pilot branches which apply best practices in microfinance.
</t>
    </r>
    <r>
      <rPr>
        <b/>
        <sz val="10"/>
        <color theme="1"/>
        <rFont val="Arial Nova"/>
        <family val="2"/>
      </rPr>
      <t xml:space="preserve">Capacity building MSMEs: </t>
    </r>
    <r>
      <rPr>
        <sz val="10"/>
        <color theme="1"/>
        <rFont val="Arial Nova"/>
        <family val="2"/>
      </rPr>
      <t xml:space="preserve">Conduct business diagnostics and business plan assessment (training), Facilitate access to credit or micro-credit to bankable proposals in priority sectors.
</t>
    </r>
    <r>
      <rPr>
        <b/>
        <sz val="10"/>
        <color theme="1"/>
        <rFont val="Arial Nova"/>
        <family val="2"/>
      </rPr>
      <t xml:space="preserve">Constraint/landscape assessment: </t>
    </r>
    <r>
      <rPr>
        <sz val="10"/>
        <color theme="1"/>
        <rFont val="Arial Nova"/>
        <family val="2"/>
      </rPr>
      <t xml:space="preserve">Banks may request the Program to conduct a market survey to evaluate the potential of a specific market or client base. Results of market studies will be disseminated among the financial sector in an attempt to identify which institutions have interest in pursuing the opportunities identified in the study.
</t>
    </r>
    <r>
      <rPr>
        <b/>
        <sz val="10"/>
        <color theme="1"/>
        <rFont val="Arial Nova"/>
        <family val="2"/>
      </rPr>
      <t>Incentives to financial institutions:</t>
    </r>
    <r>
      <rPr>
        <sz val="10"/>
        <color theme="1"/>
        <rFont val="Arial Nova"/>
        <family val="2"/>
      </rPr>
      <t xml:space="preserve"> The Program will enter into memorandums of understanding with financial institutions interested in implementing pilot projects. Investments in product development, and technology/methodologies tailored to risk management of a new customer base. The intention is that successful pilots will be replicated and expanded to other regions.</t>
    </r>
  </si>
  <si>
    <t>The number of micro and small businesses that have access to credit should increase from approximately 8,000 in December 2002 to 20,000 by June 2005, and to 50000 in December 2006,and to 80,000 in December 2008; After 3 years there should be a supportive environment for the development of the micro-finance sector in Angola based upon a national policy and action plan to support this sector
(iv) After 18 months. 200 Trainers will have been trained to implement the vocational training strategy, and close to 1000 (one thousand) clients will have taken vocational courses. A Business Plan for expansion will have been developed. By the end or the third year it is expected that close to 2200 (two thousand two hundred) clients would have benefited from the pilot vocational training programs. After 18 months two Business Centers focusing on small and medium size enterprises will have been established and a target of 44 Trainers trained and certified. These business centers would have provided courses to approximately one thousand entrepreneurs. An Angolan NGO trained in CEFE, a recognized methodology to teach business skills to illiterate groups would have downscaled business development services to at least 200 micro-entrepreneurs. A strategy for Training of Trainers would have been developed in conjunction with local NGOs to guarantee a rapid expansion of CEFE licensed teachers throughout the country. Two Business Incubators will have been established and provided support to 30 enterprises. A Business Plan for expansion will have been prepared. After three years these centers will have trained two thousand entrepreneurs, supported 60 enterprises and will be working towards full cost recovery. At least 60% of the target group will be women.</t>
  </si>
  <si>
    <t>Some sort of evaluation</t>
  </si>
  <si>
    <t>*National Institute of Small and Medium Enterprises (INAPEM)
*special credit funds, which include the Fund for Economic and Social Development (FDES), the Fund for the Support of National Businessmen (FAEN) and the Fund for the Development of the Fishing Industry (FADEPA) (sub-interventions not included here)</t>
  </si>
  <si>
    <t>.New models of Business Development Service (BDS) service centers established to include:
A business incubator that will provide a common facility and continuous business counseling services and training to in-house and external client-entrepreneurs;
25 Business Development Service (BDS) Providers capacity have been strengthened to be able to provide quality BDS to entrepreneurs on a commercial basis;
Small Business Resource Center to serve as a one-stop-shop for business information.
2.Promotion of microafinance through:
Strengthened capacity of 3 microfinance institutions to be able to provide sustainable microfinance services to a growing number of poor and disadvantaged people (target client outreach over 30,000);
Supported the Government in the process of drafting a Microfinance Policy.</t>
  </si>
  <si>
    <t>https://www.ao.undp.org/content/angola/en/home/operations/projects/poverty_reductioNot applicableEP.html</t>
  </si>
  <si>
    <t>Programa de Apoio ao Credito (PAC)</t>
  </si>
  <si>
    <t>Secondary information</t>
  </si>
  <si>
    <t>National Institute of Small and Medium Enterprises (INAPEM)</t>
  </si>
  <si>
    <t>* Enhance access to financing.</t>
  </si>
  <si>
    <r>
      <rPr>
        <b/>
        <sz val="10"/>
        <color theme="1"/>
        <rFont val="Arial Nova"/>
        <family val="2"/>
      </rPr>
      <t>Credit guarantee:</t>
    </r>
    <r>
      <rPr>
        <sz val="10"/>
        <color theme="1"/>
        <rFont val="Arial Nova"/>
        <family val="2"/>
      </rPr>
      <t xml:space="preserve"> Credit Support Project (PAC), one of the financial mechanisms to support the implementation of the PRODESI, aims at facilitating the access to finance for projects that promote the internal production of specific products. The financial volume to apply through the PAC will be determined on an annual basis, around USD 434 000 000 for 2019. Credit lines will be provided through several local commercial banks (Banco de Fomento (BFA), Banco Angolano de Investimentos (BAI), Banko BIC, Standard Bank, Banco Millennium Angola (BMA), etc.). </t>
    </r>
  </si>
  <si>
    <t>Lei 30/11 de 13 de Setembro Artigo 18.º (Medidas de Apoio Fiscal e Financeiro); Artigo 22.º (Apoio das Instituições bancárias publicas)</t>
  </si>
  <si>
    <t>https://ec.europa.eu/transparency/regdoc/rep/3/2019/EN/C-2019-7734-F1-EN-ANNEX-1-PART-1.PDF</t>
  </si>
  <si>
    <t>Access to Finance Program for SMEs</t>
  </si>
  <si>
    <t>French</t>
  </si>
  <si>
    <t>No specified implementing actor</t>
  </si>
  <si>
    <t>Capacity building financial institutions, Capacity building MSMEs</t>
  </si>
  <si>
    <t>Agriculture, Trade</t>
  </si>
  <si>
    <t>Commercial banks, MFIs</t>
  </si>
  <si>
    <t>The objective of the program is to help micro-enterprises, SMEs, cooperatives and associations ready to export and which are already exporting to access finance and financial services. The project aims to contribute to the development of the pineapple sector in Benin by promoting trade and South-South cooperation to improve the livelihoods of over 3,000 people, including SME owners, their staff and their families</t>
  </si>
  <si>
    <r>
      <t xml:space="preserve">Capacity building MSMEs: </t>
    </r>
    <r>
      <rPr>
        <sz val="10"/>
        <color theme="1"/>
        <rFont val="Arial Nova"/>
        <family val="2"/>
      </rPr>
      <t xml:space="preserve">The program makes it possible to strengthen the skills of SME managers in financial management, in particular to establish their financial stability and their ability to present bankable projects.
</t>
    </r>
    <r>
      <rPr>
        <b/>
        <sz val="10"/>
        <color theme="1"/>
        <rFont val="Arial Nova"/>
        <family val="2"/>
      </rPr>
      <t xml:space="preserve">Capacity building financial institutions: </t>
    </r>
    <r>
      <rPr>
        <sz val="10"/>
        <color theme="1"/>
        <rFont val="Arial Nova"/>
        <family val="2"/>
      </rPr>
      <t>It helps financial institutions improve their understanding of the ir ability to assess the potential and risks inherent in projects, while monitoring the performance of loan recipients.</t>
    </r>
  </si>
  <si>
    <t>Under the program, 70 microenterprises and SMEs were granted access to financial services and after a loag, banks are now assessing loan applications in the amount of US $ 3.9 million.</t>
  </si>
  <si>
    <t>https://www.intracen.org/nouvelles/ameliorer-l-acces-des-pme-au-financement-au-benin/</t>
  </si>
  <si>
    <t>USADF Benin</t>
  </si>
  <si>
    <t>No specified date of issue</t>
  </si>
  <si>
    <t>United States Foundation for Development in Africa (USADF), Department of Small and Medium-Sized Enterprises and the Promotion of Employment (MPMEPE)</t>
  </si>
  <si>
    <t>Agriculture, manufacturing</t>
  </si>
  <si>
    <t>* USADF in collaboration with MPMEPE of the government of Benin, invited cooperative societies of producers, processors, and small and medium-sized enterprises to submit requests for funding and support for the development of their local businesses promoting innovative solutions that increase their capacity to increase incomes, create jobs and achieve sustainable market-based growth.</t>
  </si>
  <si>
    <r>
      <rPr>
        <b/>
        <sz val="10"/>
        <color theme="1"/>
        <rFont val="Arial Nova"/>
        <family val="2"/>
      </rPr>
      <t>Early-stage finance:</t>
    </r>
    <r>
      <rPr>
        <sz val="10"/>
        <color theme="1"/>
        <rFont val="Arial Nova"/>
        <family val="2"/>
      </rPr>
      <t xml:space="preserve">
* The maximum amount awarded to start ups in the processing, crafts and off-grid energy sectors is the equivalent of US $50,000. 
* Grant values can range from $10,000 to a maximum of US $250,000 (grant amounts are based on the level of impact on income growth, job creation, and sustainability growth.</t>
    </r>
  </si>
  <si>
    <t>https://www2.fundsforngos.org/business-development/benin-usadf-offering-funding-for-the-development-of-local-businesses/</t>
  </si>
  <si>
    <t>Policy on Small, Medium and Micro Enterprises</t>
  </si>
  <si>
    <t>Ministry of Investment Trade and Industry</t>
  </si>
  <si>
    <t>Credit guarantee, Direct lending, Enabling infrastructure</t>
  </si>
  <si>
    <t>Revenue/turnover</t>
  </si>
  <si>
    <t xml:space="preserve">* Foster citizen entrepreneurship and empowerment.
* Achieve economic diversification.
* Promote exports.
* Encourage the development of a competitive and sustainable SMME community.
* Create sustainable employment opportunities.
* Promote linkages between SMMEs; primary industries in agriculture, mining and tourism.
* Improve efficiency in the delivery of services to businesses. </t>
  </si>
  <si>
    <r>
      <rPr>
        <b/>
        <sz val="10"/>
        <color theme="1"/>
        <rFont val="Arial Nova"/>
        <family val="2"/>
      </rPr>
      <t xml:space="preserve">Credit guarantee: </t>
    </r>
    <r>
      <rPr>
        <sz val="10"/>
        <color theme="1"/>
        <rFont val="Arial Nova"/>
        <family val="2"/>
      </rPr>
      <t>Provide a guarantee of up to 60% for banks loans to SMMEs from P10,000 to P250,000.</t>
    </r>
    <r>
      <rPr>
        <b/>
        <sz val="10"/>
        <color theme="1"/>
        <rFont val="Arial Nova"/>
        <family val="2"/>
      </rPr>
      <t xml:space="preserve">
Direct lending: </t>
    </r>
    <r>
      <rPr>
        <sz val="10"/>
        <color theme="1"/>
        <rFont val="Arial Nova"/>
        <family val="2"/>
      </rPr>
      <t>Micro-credit scheme providing loans of P500-P20,000, repayable over periods of up to 36 months at an interest rate of 18%.</t>
    </r>
    <r>
      <rPr>
        <b/>
        <sz val="10"/>
        <color theme="1"/>
        <rFont val="Arial Nova"/>
        <family val="2"/>
      </rPr>
      <t xml:space="preserve">
Regulatory environment:</t>
    </r>
    <r>
      <rPr>
        <sz val="10"/>
        <color theme="1"/>
        <rFont val="Arial Nova"/>
        <family val="2"/>
      </rPr>
      <t xml:space="preserve"> A new legal and institutional framework for SMME support (Small Business Act, Small Business Council, and Small Business Promotion Agency): Small Business Act to provide a legal frame regulatory changes, including reform of the Companies Act, sales tax regulations, licensing laws and reserved activities policy;work for the government's support services and to establish a Small Business Council.</t>
    </r>
  </si>
  <si>
    <t>*Establishment of Local Enterprise Agency in 2006 based on Small Business Act (sub-interventions not included here)</t>
  </si>
  <si>
    <t>Micro: up to P60,000 p.a.
Small: P60,000 -1,500,000 p.a.
Medium: P1,5 mn - 5 mn p.a.</t>
  </si>
  <si>
    <t>Small Business Act 2003, Government of Botswana</t>
  </si>
  <si>
    <t>https://media.africaportal.org/documents/SPECIAL_BRIEFING_-_SME_POLICY.pdf</t>
  </si>
  <si>
    <t>Business Incubation Program</t>
  </si>
  <si>
    <t>Local Enterprise Authority</t>
  </si>
  <si>
    <t>Agriculture, Manufacturing</t>
  </si>
  <si>
    <t xml:space="preserve">* Development of skills necessary.
* Creation of an enabling environment. </t>
  </si>
  <si>
    <r>
      <rPr>
        <b/>
        <sz val="10"/>
        <color theme="1"/>
        <rFont val="Arial Nova"/>
        <family val="2"/>
      </rPr>
      <t>Early-stage finance</t>
    </r>
    <r>
      <rPr>
        <sz val="10"/>
        <color theme="1"/>
        <rFont val="Arial Nova"/>
        <family val="2"/>
      </rPr>
      <t>: LEA business incubators provide – on a temporary basis- shared premises, capital equipment, business and technical services, as well as access to finance, including venture capital and business herald network.</t>
    </r>
  </si>
  <si>
    <t>Micro: Turnover of less than BWP 300,000 p.a.</t>
  </si>
  <si>
    <t>http://www.lea.co.bw/business-incubation-program</t>
  </si>
  <si>
    <t>CEDA Emergency Response Fund</t>
  </si>
  <si>
    <t>March 2020</t>
  </si>
  <si>
    <t>December 2020</t>
  </si>
  <si>
    <t>Citizen Entrepreneurial Development Agency</t>
  </si>
  <si>
    <t>Deferral/restructuring of payments, Direct lending</t>
  </si>
  <si>
    <t>Tourism, Transport</t>
  </si>
  <si>
    <t xml:space="preserve">Loan restructure, SME finance </t>
  </si>
  <si>
    <t>* To cushion the effect of the pandemic towards SMMEs that are most vulnerable and suceptible due to their compromised capital reserves to absorb the economic shocks of COVID-19.
* To increase the country's independence on medical and other critical essentials as identified during COVID-19 effect, to ensure sustenance through local production.</t>
  </si>
  <si>
    <r>
      <rPr>
        <b/>
        <sz val="10"/>
        <color theme="1"/>
        <rFont val="Arial Nova"/>
        <family val="2"/>
      </rPr>
      <t xml:space="preserve">Deferral/restructuring of payments:
* </t>
    </r>
    <r>
      <rPr>
        <sz val="10"/>
        <color theme="1"/>
        <rFont val="Arial Nova"/>
        <family val="2"/>
      </rPr>
      <t xml:space="preserve">Repayment holidy during the strained business period due to Covid-19 for all CEDA clients affected by Covid-19 (moratorium up to 12 months).
</t>
    </r>
    <r>
      <rPr>
        <b/>
        <sz val="10"/>
        <color theme="1"/>
        <rFont val="Arial Nova"/>
        <family val="2"/>
      </rPr>
      <t xml:space="preserve">Direct lending:
* </t>
    </r>
    <r>
      <rPr>
        <sz val="10"/>
        <color theme="1"/>
        <rFont val="Arial Nova"/>
        <family val="2"/>
      </rPr>
      <t>Working capital (up to 50% of total normal business operational expenses, tenure: up to 24 months, moratorium: up to 12 months, interest rate: 5% below P500,000; 7.5% above P500,000); COVID-19 essentials supplies loan (tenure: up to 15 years, moratorium: up to 24 months - to facilitate new entrants in the market of identified essentials).</t>
    </r>
  </si>
  <si>
    <t>No information available and no evaluation conducted</t>
  </si>
  <si>
    <t>https://www.ceda.co.bw/sites/default/files/emergency-response-fund.pdf</t>
  </si>
  <si>
    <t>Government of Botswana</t>
  </si>
  <si>
    <t>Credit guarantee, Direct lending, Enabling infrastructure, Equity investment or incentives, Trade/supply chain finance</t>
  </si>
  <si>
    <t>Agriculture, Construction, Manufacturing, Services, Trade</t>
  </si>
  <si>
    <t>Commercial banks, Training institutions</t>
  </si>
  <si>
    <t>* The provision of funding for the development of competitive and sustainable citizen owned businesses and joint ventures operating both within and expanding outside the country. 
* Proactively initiate and coordinate the provision of funding packages from sources other than government such as DFI, international agencies, institutional funds, venture capital funds, and the commercial banking sector.  
* Foster citizen entrepreneurship and empowerment through encouragement of local entrepreneurial culture through funding.  
* Promoting the development of vertical integration and horizontal linkages between citizen enterprises and primary industries through effectively pursuing the business opportunities associated with the exploration and exploitation of natural resources.  
* Promote the consolidation of citizen firms, amalgamations and joint ventures as a means of growing the size of citizen business enterprises to enable them to compete more effectively with larger foreign owned companies.  
* Where appropriate, finance the establishment of Citizen Businesses in foreign markets to enhance their international competitiveness.  
* Support entrepreneurship development by exposing citizen entrepreneurs to a whole range of possible business financing packages including opportunities in the money markets and institutional investors.
* Promote citizen economic empowerment through assisting to finance the acquisition of foreign owned businesses, or shares. In such businesses the entrepreneur (s) should play an active part in the management and operations of such businesses in an entrepreneurial role and not as a non-participating investor.  
* Improving access to international markets through cooperation including joint-ventures with foreign investors and investment in those markets through equity and credit guarantee schemes.  
* Foster youth enterprises in business through effective pursuit of opportunities in all sectors of the economy.  
* To provide mentoring, technical assistance and other appropriate support to CEDA funded enterprises.  
* To retain citizen investment in commercial/industrial property sectors and land.
* To address the problem of access to finance by the SMMEs due to their inability to meet security requirements of commercial banks and other financial institutions through credit guarantee.</t>
  </si>
  <si>
    <r>
      <rPr>
        <b/>
        <sz val="10"/>
        <color theme="1"/>
        <rFont val="Arial Nova"/>
        <family val="2"/>
      </rPr>
      <t>Capacity building SMEs</t>
    </r>
    <r>
      <rPr>
        <sz val="10"/>
        <color theme="1"/>
        <rFont val="Arial Nova"/>
        <family val="2"/>
      </rPr>
      <t xml:space="preserve">:
* Applied training, industry specific training, external agency training, mentoring.
</t>
    </r>
    <r>
      <rPr>
        <b/>
        <sz val="10"/>
        <color theme="1"/>
        <rFont val="Arial Nova"/>
        <family val="2"/>
      </rPr>
      <t>Credit guarantee:</t>
    </r>
    <r>
      <rPr>
        <sz val="10"/>
        <color theme="1"/>
        <rFont val="Arial Nova"/>
        <family val="2"/>
      </rPr>
      <t xml:space="preserve"> 
* Six commercial banks participate in it, guarantee fee of 1.5% of loan amount is payable p.a. to commercial banks, CEDA provides a guarantee of 75% of the net loss incurred by commercial banks as a result of their lending.
</t>
    </r>
    <r>
      <rPr>
        <b/>
        <sz val="10"/>
        <color theme="1"/>
        <rFont val="Arial Nova"/>
        <family val="2"/>
      </rPr>
      <t xml:space="preserve">Equity investment or incentives: 
* </t>
    </r>
    <r>
      <rPr>
        <sz val="10"/>
        <color theme="1"/>
        <rFont val="Arial Nova"/>
        <family val="2"/>
      </rPr>
      <t xml:space="preserve">CEDA requires that it holds a minimum of 26% but not more than 49% of the Investee company's ordinary shares; typical holding period: 5-10 years; types of transactions: start-ups or green fields, early stage investing, expansion capital, mergers and acquisitions, restructuring and turnarounds, management buyouts and buy-ins.
</t>
    </r>
    <r>
      <rPr>
        <b/>
        <sz val="10"/>
        <color theme="1"/>
        <rFont val="Arial Nova"/>
        <family val="2"/>
      </rPr>
      <t>Direct lending:</t>
    </r>
    <r>
      <rPr>
        <sz val="10"/>
        <color theme="1"/>
        <rFont val="Arial Nova"/>
        <family val="2"/>
      </rPr>
      <t xml:space="preserve"> 
* Mabogo-Dinku (short-term loans from P500 up to P150,000, payable in 3-12 months for micro-entrepreneurs), bridging finance loans ranging from P500 to P30 mn with interest rates ranging from 5% up to prevailing prime rate dependent on loan amount; construction loans, property purchase loans, manufacturing loans
</t>
    </r>
    <r>
      <rPr>
        <b/>
        <sz val="10"/>
        <color theme="1"/>
        <rFont val="Arial Nova"/>
        <family val="2"/>
      </rPr>
      <t>Trade/supply chain finance:
*</t>
    </r>
    <r>
      <rPr>
        <sz val="10"/>
        <color theme="1"/>
        <rFont val="Arial Nova"/>
        <family val="2"/>
      </rPr>
      <t xml:space="preserve"> CEDA offers Trade Finance facilities across product offerings such as Purchase Order Financing, Invoice Discounting, Factoring, Performance Bonds, Suppliers Guarantees, Bank Guarantees and other Credit Guarantees. </t>
    </r>
  </si>
  <si>
    <t>https://www.ceda.co.bw/; https://www.ceda.co.bw/sites/default/files/Revised%20CEDA%20Guidelines%20June%202020.pdf</t>
  </si>
  <si>
    <t>Botswana National Informal Sector Recovery Plan</t>
  </si>
  <si>
    <t xml:space="preserve"> August 2020</t>
  </si>
  <si>
    <t>*Grants and subsidies: Ministry of Investment, Trade and Industry, Ministry of Finance and Economic Development, The Informal Sector Agency
*Capacity building SMEs: Ministry of Investment, Trade and Industry; The Informal Sector Agency; Botswana Institute for Technology Research and Innovation (BITRI); National Food Technology Research Centre (NFTRC)</t>
  </si>
  <si>
    <t>Enabling infrastructure, Grants and subsidies</t>
  </si>
  <si>
    <t>Number of employees</t>
  </si>
  <si>
    <t>* Dispensation of COVID-19 relief to the informal sector.
* Platforms established for informal sector entrepreneurship training and cultural change.</t>
  </si>
  <si>
    <r>
      <rPr>
        <b/>
        <sz val="10"/>
        <color theme="1"/>
        <rFont val="Arial Nova"/>
        <family val="2"/>
      </rPr>
      <t>Grants and subsidies:</t>
    </r>
    <r>
      <rPr>
        <sz val="10"/>
        <color theme="1"/>
        <rFont val="Arial Nova"/>
        <family val="2"/>
      </rPr>
      <t xml:space="preserve"> 
* Generate a ‘List of COVID-19 Relief Fund Beneficiaries’ utilizing the National SMME Registration database, and with assistance from the Botswana Informal Sector Association (BOISA), Thusanang Bagwebi, other informal sector associations, and other relevant sources.
* Engage the Ministry of Finance and Economic Development to dispense P1000 COVID-19 Relief to each registered business in the Informal Sector.
* Develop Relief Fund procedures for fund disbursement; Administer the COVID-19 Relief Fund to informal sector participants.
</t>
    </r>
    <r>
      <rPr>
        <b/>
        <sz val="10"/>
        <color theme="1"/>
        <rFont val="Arial Nova"/>
        <family val="2"/>
      </rPr>
      <t>Capactiy building MSMEs</t>
    </r>
    <r>
      <rPr>
        <sz val="10"/>
        <color theme="1"/>
        <rFont val="Arial Nova"/>
        <family val="2"/>
      </rPr>
      <t>: 
* Develop articulation frameworks and cooperation agreements for informal sector-relevant entrepreneurship training programmes offered across the different Ministries and parastatals in the public sector.
* Organize training that facilitates innovation, cluster development, incubation, supply chain management, organizational management, marketing, financial management, and upscaling.
* Organize training in programming and app development for women, youth and other COVID-19 vulnerable groups.
* Organise training on e-commerce and digital solutions for marketing, and cashless supply chain management and sales.</t>
    </r>
  </si>
  <si>
    <t>They state by which indicators they want to measure success but not a certain level that has to be reached. Indicators are: 
*Number of informal sector businesses assisted financially
*Number of informal sector businesses enrolled in and graduated from entrepreneurship training programmes.
*Number of vulnerable informal sector participants trained in programming.</t>
  </si>
  <si>
    <t>Informal Sector Agency</t>
  </si>
  <si>
    <t>Micro: Less than 5 employees</t>
  </si>
  <si>
    <t>https://www.bw.undp.org/content/botswana/en/home/library/poverty/informal-sector-recovery-plan-for-botswana-2020.html</t>
  </si>
  <si>
    <t>Youth Development Fund</t>
  </si>
  <si>
    <t>Ministry of Youth Empowerment</t>
  </si>
  <si>
    <t>Ministry of Youth Empowerment, Sport and Culture Development</t>
  </si>
  <si>
    <t>* To promote active participation of youth in the socio-economic development of the country.
* To encourage the out of school, marginalised, unemployed and underemployed youth to
 venture into sustainable and viable income generating projects.
* To reduce rural-urban migration by making it attractive to start growth-orientated enterprises in
 rural areas.
* To create sustainable employment opportunities for young people through the development of sustainable projects.
* To promote the development of competitive, sustainable and growth-orientated citizen owned
 youth enterprises.</t>
  </si>
  <si>
    <r>
      <rPr>
        <b/>
        <sz val="10"/>
        <color theme="1"/>
        <rFont val="Arial Nova"/>
        <family val="2"/>
      </rPr>
      <t>Early-stage finance:</t>
    </r>
    <r>
      <rPr>
        <sz val="10"/>
        <color theme="1"/>
        <rFont val="Arial Nova"/>
        <family val="2"/>
      </rPr>
      <t xml:space="preserve"> 
* For self-nanced businesses these should have been operation for at least 6 months of operation and its nancial report/bank statement be for last 3 months.
* The repayment periods for the loan component shall be as follows:
- Up to P25, 000.00 shall not exceed 36 months
- From P25, 001.00 to P50, 000.00 shall not exceed 60 months
- From P50, 001 to P225, 000.00 shall not exceed 72 months </t>
    </r>
  </si>
  <si>
    <t>https://www.gov.bw/sites/default/files/2020-03/YDF%20GUIDELINES%204%20JULY%202017.pdf</t>
  </si>
  <si>
    <t>Financial Inclusion Support Project in Burkina Faso</t>
  </si>
  <si>
    <t>The International Development Association (World Bank)</t>
  </si>
  <si>
    <t>Credit guarantee, Enabling infrastructure</t>
  </si>
  <si>
    <t>Capacity building financial institutions, Payment system infrastructure, Regulatory environment</t>
  </si>
  <si>
    <t>Rural livelihoods, Women</t>
  </si>
  <si>
    <t>* To expand the access of farmers, women, youth and small and medium-sized enterprises (SMEs) to digital financial services and credit.</t>
  </si>
  <si>
    <r>
      <rPr>
        <b/>
        <sz val="10"/>
        <color theme="1"/>
        <rFont val="Arial Nova"/>
        <family val="2"/>
      </rPr>
      <t>Credit guarantee:</t>
    </r>
    <r>
      <rPr>
        <sz val="10"/>
        <color theme="1"/>
        <rFont val="Arial Nova"/>
        <family val="2"/>
      </rPr>
      <t xml:space="preserve">
* Provide a credit guarantee backed with technical assistance to encourage financial institutions to serve the lower end SME market.
</t>
    </r>
    <r>
      <rPr>
        <b/>
        <sz val="10"/>
        <color theme="1"/>
        <rFont val="Arial Nova"/>
        <family val="2"/>
      </rPr>
      <t xml:space="preserve">Payment system infrastructure:
</t>
    </r>
    <r>
      <rPr>
        <sz val="10"/>
        <color theme="1"/>
        <rFont val="Arial Nova"/>
        <family val="2"/>
      </rPr>
      <t xml:space="preserve">*  Increasing usage of transaction accounts, aims to increase the usage of transaction accounts.
* Reinforce adoption of digital payments, the project will support the National Treasury’s connection to the regional payment systems: STAR-UEMOA and SICA-UEMOA.
</t>
    </r>
    <r>
      <rPr>
        <b/>
        <sz val="10"/>
        <color theme="1"/>
        <rFont val="Arial Nova"/>
        <family val="2"/>
      </rPr>
      <t>Regulatory environment:</t>
    </r>
    <r>
      <rPr>
        <sz val="10"/>
        <color theme="1"/>
        <rFont val="Arial Nova"/>
        <family val="2"/>
      </rPr>
      <t xml:space="preserve">
* Strengthen the institutional capacity of both the national supervisory authority and institutions in the microfinance sector.
</t>
    </r>
    <r>
      <rPr>
        <b/>
        <sz val="10"/>
        <color theme="1"/>
        <rFont val="Arial Nova"/>
        <family val="2"/>
      </rPr>
      <t>Capacity building financial institutions:</t>
    </r>
    <r>
      <rPr>
        <sz val="10"/>
        <color theme="1"/>
        <rFont val="Arial Nova"/>
        <family val="2"/>
      </rPr>
      <t xml:space="preserve">
* Increasing farmers’ and Small and Medium Enterprises' (SMEs) access to credit.
* Strengthening credit supply for farmers and SMEs.</t>
    </r>
  </si>
  <si>
    <t>The project has a results framework with extended project development objective indicators.</t>
  </si>
  <si>
    <t xml:space="preserve">https://www.banquemondiale.org/fr/news/press-release/2019/04/30/world-bank-supports-access-to-credit-and-digital-financial-services-in-burkina-faso  ;  https://projects.worldbank.org/en/projects-operations/project-detail/P164786?lang=en </t>
  </si>
  <si>
    <t>L’Agence de Financement et de Promotion des Petites et Moyennes Entreprises (AFP-PME)</t>
  </si>
  <si>
    <t xml:space="preserve">French </t>
  </si>
  <si>
    <t>30 November 2008</t>
  </si>
  <si>
    <t>The Prime Minister</t>
  </si>
  <si>
    <t>Ministry of Economy and Finance and Ministry of Industry, Trade and Handicrafts</t>
  </si>
  <si>
    <t>Direct lending, Enabling infrastructure, Equity investment or incentives</t>
  </si>
  <si>
    <t>Commercial banks, Other financial institutions</t>
  </si>
  <si>
    <t>Number of employees and revenue/turnover</t>
  </si>
  <si>
    <t>* The main mission of AFP-PME is to contribute to the development of the private sector by supporting the promotion of an entrepreneurial dynamic and the emergence of a fabric of small and medium-sized enterprises and small and medium-sized industries.</t>
  </si>
  <si>
    <r>
      <rPr>
        <b/>
        <sz val="10"/>
        <color theme="1"/>
        <rFont val="Arial Nova"/>
        <family val="2"/>
      </rPr>
      <t>Capacity building MSMEs:</t>
    </r>
    <r>
      <rPr>
        <sz val="10"/>
        <color theme="1"/>
        <rFont val="Arial Nova"/>
        <family val="2"/>
      </rPr>
      <t xml:space="preserve">
* To offer non-financial products in the form of support for creation, training, information and business management.
* Creating jobs at local, regional and international levels through upgrading programs and specific support.
</t>
    </r>
    <r>
      <rPr>
        <b/>
        <sz val="10"/>
        <color theme="1"/>
        <rFont val="Arial Nova"/>
        <family val="2"/>
      </rPr>
      <t xml:space="preserve">Equity investment or incentives and direct lending: </t>
    </r>
    <r>
      <rPr>
        <sz val="10"/>
        <color theme="1"/>
        <rFont val="Arial Nova"/>
        <family val="2"/>
      </rPr>
      <t>Offer in synergy with banks, financial institutions and all support structures for SMEs / SMIs, innovative and diversified financial products in the form of medium and long-term investment and operating credits and bonus funds.</t>
    </r>
  </si>
  <si>
    <t>Projet de creation et de mise en place d’incubateur, de pepiniere et d’hotel d’entreprises dans le secteur agroalimentaire (PIPHE-SA), Projet d’appui a la creation et au developpement des petites et moyennes entreprises et petites et moyennes industies (PACD-PME/PMI)</t>
  </si>
  <si>
    <t xml:space="preserve">Small and Medium: 
i) Less than 100 permanent employees
ii) Annual turnover excluding tax is less than one billion (1,000,000,000) CFA francs and which maintains regular accounts. </t>
  </si>
  <si>
    <t>Decree No. 2008-856 / PRES / PM / MEF</t>
  </si>
  <si>
    <t xml:space="preserve">http://www.afppme.bf/profil/mission-objectifs# </t>
  </si>
  <si>
    <t>Projet de creation et de mise en place d’incubateur, de pepiniere et d’hotel d’entreprises dans le secteur agroalimentaire (PIPHE-SA)</t>
  </si>
  <si>
    <t>Ministry of Trade, Industry and Handicrafts</t>
  </si>
  <si>
    <t>Financing and Promotion Agency for Small and Medium Enterprises</t>
  </si>
  <si>
    <t>* To promote the creation, development and sustainability of SMEs in the agri-food sector by offering shared services for incubation, accommodation and exit support</t>
  </si>
  <si>
    <r>
      <rPr>
        <b/>
        <sz val="10"/>
        <color theme="1"/>
        <rFont val="Arial Nova"/>
        <family val="2"/>
      </rPr>
      <t>Capacity building MSMEs:</t>
    </r>
    <r>
      <rPr>
        <sz val="10"/>
        <color theme="1"/>
        <rFont val="Arial Nova"/>
        <family val="2"/>
      </rPr>
      <t xml:space="preserve">
* To offer non-financial products in the form of support for business creation, training, information and management.
* Support business creators and project leaders in the agri-food sector in technological mastery and decision-making. 
* Welcome creators and promoters of agrifood sector projects, by providing them with a professional environment and optimized resources.
</t>
    </r>
    <r>
      <rPr>
        <b/>
        <sz val="10"/>
        <color theme="1"/>
        <rFont val="Arial Nova"/>
        <family val="2"/>
      </rPr>
      <t>Equity investment or incentives and Direct lending:</t>
    </r>
    <r>
      <rPr>
        <sz val="10"/>
        <color theme="1"/>
        <rFont val="Arial Nova"/>
        <family val="2"/>
      </rPr>
      <t xml:space="preserve">
* Contribute to the financing of projects for the creation and extension of SMEs/SMIs in the agrifood sector.
* Contribute to the economic development and industrialization of companies in the agrifood sector.
* To offer innovative and diversified financial products in the form of medium- and long-term investment and operating loans and bonus funds in synergy with banks, financial institutions and all SME/PMI support structures.</t>
    </r>
  </si>
  <si>
    <t>*accommodation and production infrastructure (offices, meeting rooms, production workshops, available storage rooms) available;
*100 project leaders received in incubation;
*50 startups created, 30% of which are headed by women;
*30 hosted startups, 30% of which are headed by women;
*100 direct jobs and 200 indirect jobs generated;
*at least 60% of the startups created installed and functioning on the market.</t>
  </si>
  <si>
    <t xml:space="preserve">Small and Medium: 
i) Less than one hundred 100 permanent employees
ii) Annual turnover excluding tax is less than one billion (1,000,000,000) CFA francs and which maintains regular accounts. </t>
  </si>
  <si>
    <t>http://www.afppme.bf/</t>
  </si>
  <si>
    <t>Projet d’appui a la creation et au developpement des petites et moyennes entreprises et petites et moyennes industies (PACD-PME/PMI)</t>
  </si>
  <si>
    <t xml:space="preserve">Small and Medium: 
i) Less than one hundred (100) permanent employees
ii) Annual turnover excluding tax is less than one billion (1,000,000,000) CFA francs and which maintains regular accounts. </t>
  </si>
  <si>
    <t xml:space="preserve">http://www.afppme.bf/ </t>
  </si>
  <si>
    <t>Fonds de relance économique (FRE-COVID)</t>
  </si>
  <si>
    <t>May 2020</t>
  </si>
  <si>
    <t>Government of Burkina Faso</t>
  </si>
  <si>
    <t>Agency for the Financing and Promotion of Small and Medium-Sized Enterprises (AFP-PME)</t>
  </si>
  <si>
    <t>High-level</t>
  </si>
  <si>
    <t>* To support the resilience of the economy and promote its recovery.</t>
  </si>
  <si>
    <r>
      <rPr>
        <b/>
        <sz val="10"/>
        <color theme="1"/>
        <rFont val="Arial Nova"/>
        <family val="2"/>
      </rPr>
      <t xml:space="preserve">Direct lending: </t>
    </r>
    <r>
      <rPr>
        <sz val="10"/>
        <color theme="1"/>
        <rFont val="Arial Nova"/>
        <family val="2"/>
      </rPr>
      <t xml:space="preserve">
* The amount of one hundred (100) billion F CFA allocated is programmed over the period 2020-2021 at the rate of sixty (60) billion FCFA in 2020 and 30 billion FCFA in 2021.
* FRE COVID-19 interventions will be carried out mainly underform of loans at an interest rate reduced to 3.5% for the benefit of small and medium-sizedenterprises (SMEs) and Very small enterprises (MSE) and at 4% for large companies.</t>
    </r>
  </si>
  <si>
    <t>Micro: Turnover less than 30 million CFA francs.
Small and Medium: Turnover greater than or equal to CFAF 30 million and less than 02 billion F CFA.</t>
  </si>
  <si>
    <t>http://www.afppme.bf/ ; https://www.finances.gov.bf/forum/detail-actualites?tx_news_pi1%5Baction%5D=detail&amp;tx_news_pi1%5Bcontroller%5D=News&amp;tx_news_pi1%5Bnews%5D=182&amp;cHash=28535c87e7036940af5f5905b230839c ; https://www.finances.gov.bf/fileadmin/user_upload/storage/Mecanisme_FRE_COVID_19_VF.pdf</t>
  </si>
  <si>
    <t xml:space="preserve">Local Development for Jobs Project </t>
  </si>
  <si>
    <t>Ministry of Finance, Budget and Privatization</t>
  </si>
  <si>
    <t>Direct lending, Grants and subsidies, Trade/supply chain finance</t>
  </si>
  <si>
    <t xml:space="preserve">Micro enterprises, Rural livelihoods, Women, Youth </t>
  </si>
  <si>
    <t xml:space="preserve">Agriculture, Construction, Services </t>
  </si>
  <si>
    <t>MFIs, NGOs</t>
  </si>
  <si>
    <t xml:space="preserve">Not applicable </t>
  </si>
  <si>
    <t>* The project development objective is to create income generating opportunities for individuals and businesses and  improve access to basic infrastructure in selected regions, targeting vulnerable populations and MSMEs in selected  value chains.</t>
  </si>
  <si>
    <r>
      <rPr>
        <b/>
        <sz val="10"/>
        <color theme="1"/>
        <rFont val="Arial Nova"/>
        <family val="2"/>
      </rPr>
      <t xml:space="preserve">
Direct Lending: </t>
    </r>
    <r>
      <rPr>
        <sz val="10"/>
        <color theme="1"/>
        <rFont val="Arial Nova"/>
        <family val="2"/>
      </rPr>
      <t xml:space="preserve">Direct  financing will be provided  through a BDG mechanism  that will  help  support  productive  investments  in  technology,  know‐how  and  infrastructure.
</t>
    </r>
    <r>
      <rPr>
        <b/>
        <sz val="10"/>
        <color theme="1"/>
        <rFont val="Arial Nova"/>
        <family val="2"/>
      </rPr>
      <t>Grants and subsidies:
*</t>
    </r>
    <r>
      <rPr>
        <sz val="10"/>
        <color theme="1"/>
        <rFont val="Arial Nova"/>
        <family val="2"/>
      </rPr>
      <t xml:space="preserve"> Business Development Grants for grouped MSMEs will be capped at US$1.5 million.  
* Business Development Grants for individual MSMEs will  be capped at US$150,000.</t>
    </r>
    <r>
      <rPr>
        <b/>
        <sz val="10"/>
        <color theme="1"/>
        <rFont val="Arial Nova"/>
        <family val="2"/>
      </rPr>
      <t xml:space="preserve">
Trade/supply chain finance:
</t>
    </r>
    <r>
      <rPr>
        <sz val="10"/>
        <color theme="1"/>
        <rFont val="Arial Nova"/>
        <family val="2"/>
      </rPr>
      <t xml:space="preserve">*  Support for Value Chain Development - This component includes BDG provisions to MSMEs in the construction and agribusiness sectors to help  them to access financing for new investments.
</t>
    </r>
    <r>
      <rPr>
        <sz val="10"/>
        <rFont val="Arial Nova"/>
        <family val="2"/>
      </rPr>
      <t>*  Value Chain Support Specialists will be created to  engage  MSMEs  and  other  key  stakeholders  within  selected  sectors  and  sub-sectors  of  the  economy to generate  investments  and  better  connect  to  local  and  export  markets.
* Catalytic Financing Facility (US$8 million equivalent) - Individual  and  grouped MSMEs  in  selected  value  chains  will  be  eligible  to  receive financing from the business development program.</t>
    </r>
  </si>
  <si>
    <t xml:space="preserve"> Firms benefiting from business development grants (350)</t>
  </si>
  <si>
    <t>Micro and Small: Average number of employees - 5; average revenue - $15 000
Medium: Average number of employees - 20; average revenue - $50 000</t>
  </si>
  <si>
    <t xml:space="preserve">No legal/regulatory framework specified </t>
  </si>
  <si>
    <t xml:space="preserve">No information available </t>
  </si>
  <si>
    <t>http://documents1.worldbank.org/curated/en/918991503626481687/pdf/BURUNDI-PAD-NEW-08032017.pdf</t>
  </si>
  <si>
    <t xml:space="preserve">National Financial Inclusion Strategy </t>
  </si>
  <si>
    <t xml:space="preserve">Bank of the Republic of Burundi, Ministry of Finance and Economic 
Development Planning </t>
  </si>
  <si>
    <t xml:space="preserve">Ministry of Finance and Economic 
Development Planning </t>
  </si>
  <si>
    <t>Credit guarantee, Grants and subsidies, Enabling infrastructure</t>
  </si>
  <si>
    <t xml:space="preserve">Capacity building MSMEs,  Regulatory environment </t>
  </si>
  <si>
    <t xml:space="preserve">Micro enterprises, Rural livelihoods Women, Youth </t>
  </si>
  <si>
    <t xml:space="preserve">Agriculture </t>
  </si>
  <si>
    <t>Commercial banks. MFIs</t>
  </si>
  <si>
    <t>* Permanent access by the adult population to a set of financial products and services offered by formal and sustainable financial institutions, governed by adequate regulations, that are diversified, affordable and adapted to the needs of the population, and used by the latter for the purpose of contributing to the improvement of the conditions of their socioeconomic life.</t>
  </si>
  <si>
    <r>
      <rPr>
        <b/>
        <sz val="10"/>
        <color theme="1"/>
        <rFont val="Arial Nova"/>
        <family val="2"/>
      </rPr>
      <t>Capacity building MSMEs:</t>
    </r>
    <r>
      <rPr>
        <sz val="10"/>
        <color theme="1"/>
        <rFont val="Arial Nova"/>
        <family val="2"/>
      </rPr>
      <t xml:space="preserve">
* Inform and educate women and youth about using financial products and services
* Provide advisory support to micro and small entrepreneurs and their associations
</t>
    </r>
    <r>
      <rPr>
        <b/>
        <sz val="10"/>
        <color theme="1"/>
        <rFont val="Arial Nova"/>
        <family val="2"/>
      </rPr>
      <t xml:space="preserve">Credit guarantee: </t>
    </r>
    <r>
      <rPr>
        <sz val="10"/>
        <color theme="1"/>
        <rFont val="Arial Nova"/>
        <family val="2"/>
      </rPr>
      <t xml:space="preserve">Provide credit guarantees for agricultural loans (4 331 287 BIF).
</t>
    </r>
    <r>
      <rPr>
        <b/>
        <sz val="10"/>
        <color theme="1"/>
        <rFont val="Arial Nova"/>
        <family val="2"/>
      </rPr>
      <t>Grants and subsidies:</t>
    </r>
    <r>
      <rPr>
        <sz val="10"/>
        <color theme="1"/>
        <rFont val="Arial Nova"/>
        <family val="2"/>
      </rPr>
      <t xml:space="preserve">
* Introduction of a mechanism to subsidize interest rates for rural credit (13.4 billion BIF in subsidies for rural credit).
* Set up a structure for integrating the mechanisms for subsidizing intrants, subsidizing interest rates and guaranteeing agricultural loans.
</t>
    </r>
    <r>
      <rPr>
        <b/>
        <sz val="10"/>
        <color theme="1"/>
        <rFont val="Arial Nova"/>
        <family val="2"/>
      </rPr>
      <t>Regulatory environment:</t>
    </r>
    <r>
      <rPr>
        <sz val="10"/>
        <color theme="1"/>
        <rFont val="Arial Nova"/>
        <family val="2"/>
      </rPr>
      <t xml:space="preserve">
* Provide a legal framework for the financial sector that is adapted to financial inclusion.
* Set up a regulatory framework for the protection of consumers of financial products and services.
* Adjustments to legislation, regulations, policies and mechanisms in areas related to the financial sector.
* Integrate microinsurance into the legal framework.</t>
    </r>
  </si>
  <si>
    <t>i) Volume of guaranteed agricultural credit at 71.6 billion BIF by 2020
ii) Volume of interest rate subsidees of rural loans (5009 millions BIF)</t>
  </si>
  <si>
    <t xml:space="preserve">Not specified </t>
  </si>
  <si>
    <t>No legal/regulatory framwork specified</t>
  </si>
  <si>
    <t xml:space="preserve">No link </t>
  </si>
  <si>
    <t>https://www.afi-global.org/sites/default/files/publications/nfis-english_version_final.pdf</t>
  </si>
  <si>
    <t xml:space="preserve">Pandemic Response Plan </t>
  </si>
  <si>
    <t>Government of Burundi</t>
  </si>
  <si>
    <t>Minister of Health</t>
  </si>
  <si>
    <t>Deferral/restructuring of payments, Grants and subsidies</t>
  </si>
  <si>
    <t xml:space="preserve">No enabling infrastructure elements </t>
  </si>
  <si>
    <t>MFIs, Commercial banks</t>
  </si>
  <si>
    <t>The authorities’ pandemic response plan aims to strengthen the health care system, the social safety net, and parts of the road network to facilitate access to sick people</t>
  </si>
  <si>
    <r>
      <rPr>
        <b/>
        <sz val="10"/>
        <color theme="1"/>
        <rFont val="Arial Nova"/>
        <family val="2"/>
      </rPr>
      <t>Deferral/restructuring of payments:</t>
    </r>
    <r>
      <rPr>
        <sz val="10"/>
        <color theme="1"/>
        <rFont val="Arial Nova"/>
        <family val="2"/>
      </rPr>
      <t xml:space="preserve">
* An extension of loan maturities to borrowers in hard-hit sectors, applying existing regulation in a flexible manner.
* Commercial banks to reduce bank fees for electronic transfers, and mobile money transfers in order to reduce the need to go to banks.
</t>
    </r>
    <r>
      <rPr>
        <b/>
        <sz val="10"/>
        <color theme="1"/>
        <rFont val="Arial Nova"/>
        <family val="2"/>
      </rPr>
      <t>Grants and subsidies:</t>
    </r>
    <r>
      <rPr>
        <sz val="10"/>
        <color theme="1"/>
        <rFont val="Arial Nova"/>
        <family val="2"/>
      </rPr>
      <t xml:space="preserve">
* Subsidies are planned to help pay salaries in these sectors and avoid massive layoffs. Salaries for suspended services such as those provided at the Melchior Ndadaye International Airport will continue to be paid with government support</t>
    </r>
  </si>
  <si>
    <t>https://www.imf.org/en/Topics/imf-and-covid19/Policy-Responses-to-COVID-19#B</t>
  </si>
  <si>
    <t>Ministère des Petites et Moyennes Entreprises, de l’Economie Sociale et de l’Artisanat</t>
  </si>
  <si>
    <t>December 2004</t>
  </si>
  <si>
    <t>President of Cameroon</t>
  </si>
  <si>
    <t>Capacity building MSMEs, Credit information system, Other, Regulatory environment</t>
  </si>
  <si>
    <t>* The development, implementation and evaluation of the Government's policy on the development of Small and Medium Enterprises, Social Economy and Handicrafts.</t>
  </si>
  <si>
    <r>
      <rPr>
        <b/>
        <sz val="10"/>
        <color theme="1"/>
        <rFont val="Arial Nova"/>
        <family val="2"/>
      </rPr>
      <t xml:space="preserve">Capacity building MSMEs: </t>
    </r>
    <r>
      <rPr>
        <sz val="10"/>
        <color theme="1"/>
        <rFont val="Arial Nova"/>
        <family val="2"/>
      </rPr>
      <t xml:space="preserve">Support for capacity building for SMEs.
</t>
    </r>
    <r>
      <rPr>
        <b/>
        <sz val="10"/>
        <color theme="1"/>
        <rFont val="Arial Nova"/>
        <family val="2"/>
      </rPr>
      <t xml:space="preserve">Credit information system: </t>
    </r>
    <r>
      <rPr>
        <sz val="10"/>
        <color theme="1"/>
        <rFont val="Arial Nova"/>
        <family val="2"/>
      </rPr>
      <t xml:space="preserve">Setting up an information system on SMEs.
</t>
    </r>
    <r>
      <rPr>
        <b/>
        <sz val="10"/>
        <color theme="1"/>
        <rFont val="Arial Nova"/>
        <family val="2"/>
      </rPr>
      <t>Regulatory environment:</t>
    </r>
    <r>
      <rPr>
        <sz val="10"/>
        <color theme="1"/>
        <rFont val="Arial Nova"/>
        <family val="2"/>
      </rPr>
      <t xml:space="preserve">
* The formulation and implementation of the development policy for small and medium-sized enterprises (SMEs). 
* Promote the access of SMEs to financing through the development of legislative or regulatory incentives for the systemfinancial in order to encourage it to grant aid to SMEs. 
</t>
    </r>
    <r>
      <rPr>
        <b/>
        <sz val="10"/>
        <color theme="1"/>
        <rFont val="Arial Nova"/>
        <family val="2"/>
      </rPr>
      <t>Other:</t>
    </r>
    <r>
      <rPr>
        <sz val="10"/>
        <color theme="1"/>
        <rFont val="Arial Nova"/>
        <family val="2"/>
      </rPr>
      <t xml:space="preserve">
* The development of strategies for the creation and development of SMEs. 
* Improvement of the business environment in conjunction with the administrations concerned.
* The promotion of financing mechanisms adapted to SMEs, in conjunction with financial institutions and competent administrations. 
* Support for technology transfer to SMEs.
* Facilitating access for SMEs to high added value sectors.
* Support for improving the competitiveness of SMEs.</t>
    </r>
  </si>
  <si>
    <t>La banque des PME, Centres de Gestion Agrées</t>
  </si>
  <si>
    <t>Micro:  Employs at most 5 people; whose annual turnover excluding tax does not exceed Fifteen (15) Million CFA Francs.
Small:  Between 6 and 20 employees; whose annual turnover excluding tax is greater than fifteen (15) million CFA francs and does not exceed not one hundred (100) Million CFA Francs.
Medium: Between 21 and 100 employees; whose annual turnover excluding tax is greater than one hundred (10) million CFA francs and n 'not exceed one (01) Billion CFA Francs.</t>
  </si>
  <si>
    <t>Presidential decree n ° 2004/320 on the organization of the government, modified by decree n ° 2011/408 of December 09, 2011 and recently supplemented by that of May 27, 2013 n ° 2013/169</t>
  </si>
  <si>
    <t xml:space="preserve">http://www.minpmeesa.gov.cm/site/inhoud/uploads/2019/01/loi-portant-promotion-des-pme-au-cameroun-_1_.pdf ; http://www.minpmeesa.gov.cm/site/pme/ </t>
  </si>
  <si>
    <t>La banque des PME</t>
  </si>
  <si>
    <t>20 July 2015</t>
  </si>
  <si>
    <t>President</t>
  </si>
  <si>
    <t>Agency for the Promotion of SMEs; the Upgrade Office; the Subcontracting and Partnership Exchange; Approved Management Centers, Business Creation Formalities Centers</t>
  </si>
  <si>
    <t>* To provide business promoters with financing facilities in an economy where SMEs represent nearly 95% of the country's economic fabric.</t>
  </si>
  <si>
    <r>
      <t xml:space="preserve">
</t>
    </r>
    <r>
      <rPr>
        <b/>
        <sz val="10"/>
        <color theme="1"/>
        <rFont val="Arial Nova"/>
        <family val="2"/>
      </rPr>
      <t xml:space="preserve">Direct lending: </t>
    </r>
    <r>
      <rPr>
        <sz val="10"/>
        <color theme="1"/>
        <rFont val="Arial Nova"/>
        <family val="2"/>
      </rPr>
      <t xml:space="preserve">
* Financing of SME projects and, above all with high development potential, in compliance with banking regulations.
* Mobilization of financial resources at national and international level for the financing of SMEs.</t>
    </r>
  </si>
  <si>
    <t>Centres de Gestion Agrées</t>
  </si>
  <si>
    <t>Micro: Employs at most 5 people and whose annual turnover excl. tax does not exceed 15 million CFA francs.
Small: Employs between 6 and 20 people and whose annual turnover excluding tax is ≥ 15 Million F CFA and does not exceed 250 Million F CFA
Medium: Employs between 21 people and 100 people and whose annual turnover excluding tax is&gt; 250 Million F CFA and does not exceed 3 billion F CFA</t>
  </si>
  <si>
    <t>No information</t>
  </si>
  <si>
    <t xml:space="preserve">https://bc-pme.com/fr/index.php?lang=fr ;  http://www.minpmeesa.gov.cm/site/pme/banque-des-pme/ </t>
  </si>
  <si>
    <t>Incitations à la Création d’Entreprises</t>
  </si>
  <si>
    <t>The president</t>
  </si>
  <si>
    <t>Ministry in charge of the Promotion of Private Investments &amp; Ministry of Finance</t>
  </si>
  <si>
    <t>to encourage, attract and promote productive investments with a view to developing activities geared towards the promotion of strong, sustainable and shared economic growth, as well as employment</t>
  </si>
  <si>
    <r>
      <rPr>
        <b/>
        <sz val="10"/>
        <color theme="1"/>
        <rFont val="Arial Nova"/>
        <family val="2"/>
      </rPr>
      <t>Incentives to financial institutions</t>
    </r>
    <r>
      <rPr>
        <sz val="10"/>
        <color theme="1"/>
        <rFont val="Arial Nova"/>
        <family val="2"/>
      </rPr>
      <t>: Several customs and tax incentives are granted for specific investment, including SMEs.</t>
    </r>
  </si>
  <si>
    <t>Law 2013/004 of April 18, 2013</t>
  </si>
  <si>
    <t xml:space="preserve">Law 2013/004 of April 18, 2013 (http://extwprlegs1.fao.org/docs/pdf/cmr158575.pdf) ; http://www.minpmeesa.gov.cm/site/pme/incitations/ </t>
  </si>
  <si>
    <t>CV-SME Capacity Building and Economic Governance</t>
  </si>
  <si>
    <t>29 April 2010</t>
  </si>
  <si>
    <t>31 January 2015</t>
  </si>
  <si>
    <t>Ministry of Finance, World Bank</t>
  </si>
  <si>
    <t>Ministry of Finance</t>
  </si>
  <si>
    <t xml:space="preserve">* The project's overall objective is “to assist the Government in its efforts to reduce the cost
of doing business, diversify the target regions receiving foreign investments and enhance
opportunities of small and medium enterprises to access public procurement”. </t>
  </si>
  <si>
    <r>
      <t xml:space="preserve">MSME procurement:
</t>
    </r>
    <r>
      <rPr>
        <sz val="10"/>
        <color theme="1"/>
        <rFont val="Arial Nova"/>
        <family val="2"/>
      </rPr>
      <t xml:space="preserve">In terms of the regulatory framework, the project supported: 
(i) An update of the existing procurement law and regulations, as well as new implementing regulations to promote efficiency and eliminate provisions that result in reduced competition or a lack of transparency. 
Specifically, the project addressed:
(i) The numerous sole source provisions that allowed an abusive use of this method of selection.
(ii) The restrictive mandatory certification provisions for international bidders.
(iii) The restrictive eligibility practices for national competitive bidding that limited participation among local bidders.
(iv) Practices that led to conflicts of interest at the level of procurement regulatory authority (ARAP).
(v) Clarification of ARAP’s certification role in relation to UGA.
(vi) The need for private sector representation ARAP’s board of directors, and (vii) the absence of the implementing rules and regulations for handling complaints from bidders. </t>
    </r>
  </si>
  <si>
    <t xml:space="preserve">
*Increase the # of SMEs that compete for contracts through the public procurement process from 15 to 80 over the lifetime of the project. </t>
  </si>
  <si>
    <t>Target indicator evaluation</t>
  </si>
  <si>
    <t xml:space="preserve">
*Number of SMEs taking part in public procurement processes increased to 444 - target was 80</t>
  </si>
  <si>
    <t>https://projects.worldbank.org/en/projects-operations/project-detail/p107456; http://documents1.worldbank.org/curated/en/773441468000615611/pdf/ICR3520-P107456-Box393177B-PUBLIC-disclosed-8-4-15.pdf</t>
  </si>
  <si>
    <t>Fundo de Garantia Mutua</t>
  </si>
  <si>
    <t>* The Fundo de Gantia Mutua will be provided with 50 million escudos to support micro and small business to access financing from banks.</t>
  </si>
  <si>
    <r>
      <rPr>
        <b/>
        <sz val="10"/>
        <color theme="1"/>
        <rFont val="Arial Nova"/>
        <family val="2"/>
      </rPr>
      <t xml:space="preserve">Credit guarantee: </t>
    </r>
    <r>
      <rPr>
        <sz val="10"/>
        <color theme="1"/>
        <rFont val="Arial Nova"/>
        <family val="2"/>
      </rPr>
      <t>The maximum loan available to the companies is of around 10 million escudos and the fund offers a guarantee of 50% of that amount. The companies that will benefit from the CV Guarantee fun will pay a service fee for the sustainability of the fund.  Interest rate is 10%
Early-stage finance: interest rate of 8%</t>
    </r>
  </si>
  <si>
    <t xml:space="preserve">No numerical target specified </t>
  </si>
  <si>
    <t>https://macauhub.com.mo/2015/08/07/cabo-verde-government-creates-fund-to-support-smes/</t>
  </si>
  <si>
    <t>Ministre des Petites et Moyennes Entreprises, de l'Artisanat et du Secteur Informel</t>
  </si>
  <si>
    <t xml:space="preserve">https://www.gouv.cf/les-ministres/93/ministre-des-petites-et-moyennes-entreprises-de-iartisanat-et-du-secteur-informel </t>
  </si>
  <si>
    <t>Special fund for women and young people (not official name)</t>
  </si>
  <si>
    <t>Unsure</t>
  </si>
  <si>
    <t>Women, Youth</t>
  </si>
  <si>
    <t>to better organize themselves in the field ofincome-generating activities</t>
  </si>
  <si>
    <t xml:space="preserve">women’s and youth empowerment and a national strategy on micro-credit </t>
  </si>
  <si>
    <t>Fonds Pour l’Entrepreneuriat des Jeunes</t>
  </si>
  <si>
    <t>11 July 2020</t>
  </si>
  <si>
    <t>Minister of Finance and Budget</t>
  </si>
  <si>
    <t>Local banks &amp; Minister of Finance and Budget</t>
  </si>
  <si>
    <t>Credit guarantee, Direct lending</t>
  </si>
  <si>
    <t>To fight against socio-economic disparities, but also to reduce the rate of youth unemployment.</t>
  </si>
  <si>
    <r>
      <rPr>
        <b/>
        <sz val="10"/>
        <color theme="1"/>
        <rFont val="Arial Nova"/>
        <family val="2"/>
      </rPr>
      <t xml:space="preserve">Credit guarantee: </t>
    </r>
    <r>
      <rPr>
        <sz val="10"/>
        <color theme="1"/>
        <rFont val="Arial Nova"/>
        <family val="2"/>
      </rPr>
      <t>Granted in the form of loans with a partial State guarantee of around 70%. To promote solidarity between the genders, the territories and the necessary support for the decentralization of economic activities, a fraction of the loans is to be allocated to young people in each province (at least 30% of the loans are to be granted to young girls and women).</t>
    </r>
    <r>
      <rPr>
        <b/>
        <sz val="10"/>
        <color theme="1"/>
        <rFont val="Arial Nova"/>
        <family val="2"/>
      </rPr>
      <t xml:space="preserve">
Direct lending: </t>
    </r>
    <r>
      <rPr>
        <sz val="10"/>
        <color theme="1"/>
        <rFont val="Arial Nova"/>
        <family val="2"/>
      </rPr>
      <t>The projects will be 100% financed by the banks. The loans will be granted at very attractive rates, 50% cheaper than the rates generally charged to SMEs. The target interest rate will be around 6.25% maximum.</t>
    </r>
  </si>
  <si>
    <t>Law N 0 005 / PR / MFB / 2020 of May 26, 2020</t>
  </si>
  <si>
    <t xml:space="preserve">http://www.lepaystchad.com/13741/ ; https://finances.gouv.td/index.php/component/k2/item/601-lancement-officiel-du-fonds-pour-l-entrepreneuriat-des-jeunes </t>
  </si>
  <si>
    <t>Comoros Integrated Development and Competitiveness Project</t>
  </si>
  <si>
    <t>World Bank, Ministry of Finance</t>
  </si>
  <si>
    <t>Ministry of Energy, Agriculture, Environment and Fisheries</t>
  </si>
  <si>
    <t>Grants and subsidies, Enabling infrastructure, Early-stage finance, Trade/supply chain finance</t>
  </si>
  <si>
    <t>Capacity building MSMEs, Other</t>
  </si>
  <si>
    <t>Agriculture, Tourism</t>
  </si>
  <si>
    <t>* To promote the development of Micro, Small and Medium Enterprises (MSMEs) and relevant value chain actors in the agriculture, tourism and associated sectors in Comoros.</t>
  </si>
  <si>
    <r>
      <rPr>
        <b/>
        <sz val="10"/>
        <color theme="1"/>
        <rFont val="Arial Nova"/>
        <family val="2"/>
      </rPr>
      <t xml:space="preserve">Capacity building MSMEs: </t>
    </r>
    <r>
      <rPr>
        <sz val="10"/>
        <color theme="1"/>
        <rFont val="Arial Nova"/>
        <family val="2"/>
      </rPr>
      <t xml:space="preserve">The project will support the training of a pool of trainers drawn from CRDE crop technicians, students at the National Center for Horticulture, and community farmer-trainers.
</t>
    </r>
    <r>
      <rPr>
        <b/>
        <sz val="10"/>
        <color theme="1"/>
        <rFont val="Arial Nova"/>
        <family val="2"/>
      </rPr>
      <t xml:space="preserve">Early-stage finance: </t>
    </r>
    <r>
      <rPr>
        <sz val="10"/>
        <color theme="1"/>
        <rFont val="Arial Nova"/>
        <family val="2"/>
      </rPr>
      <t xml:space="preserve">Business Plan Competition to support early stage enterprise development (SDR1.4 million, US$2 million equivalent). 
</t>
    </r>
    <r>
      <rPr>
        <b/>
        <sz val="10"/>
        <color theme="1"/>
        <rFont val="Arial Nova"/>
        <family val="2"/>
      </rPr>
      <t>Grants and subsidies:</t>
    </r>
    <r>
      <rPr>
        <sz val="10"/>
        <color theme="1"/>
        <rFont val="Arial Nova"/>
        <family val="2"/>
      </rPr>
      <t xml:space="preserve"> Direct support to firms (SDR5.4 million, US$7.5 million equivalent).
</t>
    </r>
    <r>
      <rPr>
        <b/>
        <sz val="10"/>
        <color theme="1"/>
        <rFont val="Arial Nova"/>
        <family val="2"/>
      </rPr>
      <t xml:space="preserve">Other: </t>
    </r>
    <r>
      <rPr>
        <sz val="10"/>
        <color theme="1"/>
        <rFont val="Arial Nova"/>
        <family val="2"/>
      </rPr>
      <t xml:space="preserve">Productive infrastructure for connectivity and market access (SDR5.8 million, US$8 million equivalent).
</t>
    </r>
    <r>
      <rPr>
        <b/>
        <sz val="10"/>
        <color theme="1"/>
        <rFont val="Arial Nova"/>
        <family val="2"/>
      </rPr>
      <t>Trade/supply chain finance:</t>
    </r>
    <r>
      <rPr>
        <sz val="10"/>
        <color theme="1"/>
        <rFont val="Arial Nova"/>
        <family val="2"/>
      </rPr>
      <t xml:space="preserve">
* Structuring Value Chains for agribusiness development(SDR4.3 million, US$6 million equivalent).
* Value chain development in priority sectors (SDR10.9 million, US$15 million equivalent).
* Strengthening the institutional environment for agriculture and tourism value chain development (SDR0.8 million, US$1 million equivalent).
Subcomponent 2.2 Matching fund for high growth MSMEs and cooperatives (SDR4 million, US$5.5 million equivalent).</t>
    </r>
  </si>
  <si>
    <r>
      <t xml:space="preserve">Increased revenue among beneficiary start-ups, MSMEs and Value Chain actors </t>
    </r>
    <r>
      <rPr>
        <b/>
        <sz val="10"/>
        <color theme="1"/>
        <rFont val="Arial Nova"/>
        <family val="2"/>
      </rPr>
      <t>(30%)</t>
    </r>
    <r>
      <rPr>
        <sz val="10"/>
        <color theme="1"/>
        <rFont val="Arial Nova"/>
        <family val="2"/>
      </rPr>
      <t xml:space="preserve">
Increase in volume of sold raw and processed agriculture products by project beneficiaries (% disaggregated by farmers and cooperatives for selected indicative crops and livestock products)</t>
    </r>
    <r>
      <rPr>
        <b/>
        <sz val="10"/>
        <color theme="1"/>
        <rFont val="Arial Nova"/>
        <family val="2"/>
      </rPr>
      <t>(25%)</t>
    </r>
    <r>
      <rPr>
        <sz val="10"/>
        <color theme="1"/>
        <rFont val="Arial Nova"/>
        <family val="2"/>
      </rPr>
      <t xml:space="preserve">
Number of jobs created by beneficiary start-ups, MSMEs and Value Chain actors (# disaggregated by female and youth) </t>
    </r>
    <r>
      <rPr>
        <b/>
        <sz val="10"/>
        <color theme="1"/>
        <rFont val="Arial Nova"/>
        <family val="2"/>
      </rPr>
      <t>(1600)
Value of private finance catalyzed (2 million (USD))</t>
    </r>
    <r>
      <rPr>
        <sz val="10"/>
        <color theme="1"/>
        <rFont val="Arial Nova"/>
        <family val="2"/>
      </rPr>
      <t xml:space="preserve">
Number of tourism investment promotion campaigns conducted </t>
    </r>
    <r>
      <rPr>
        <b/>
        <sz val="10"/>
        <color theme="1"/>
        <rFont val="Arial Nova"/>
        <family val="2"/>
      </rPr>
      <t>(5)</t>
    </r>
    <r>
      <rPr>
        <sz val="10"/>
        <color theme="1"/>
        <rFont val="Arial Nova"/>
        <family val="2"/>
      </rPr>
      <t xml:space="preserve">
Number of multi-service platforms for export crops and livestock established or upgraded </t>
    </r>
    <r>
      <rPr>
        <b/>
        <sz val="10"/>
        <color theme="1"/>
        <rFont val="Arial Nova"/>
        <family val="2"/>
      </rPr>
      <t>(7)</t>
    </r>
    <r>
      <rPr>
        <sz val="10"/>
        <color theme="1"/>
        <rFont val="Arial Nova"/>
        <family val="2"/>
      </rPr>
      <t xml:space="preserve">
Number of Trained livestock and crop technicians </t>
    </r>
    <r>
      <rPr>
        <b/>
        <sz val="10"/>
        <color theme="1"/>
        <rFont val="Arial Nova"/>
        <family val="2"/>
      </rPr>
      <t>(100)</t>
    </r>
    <r>
      <rPr>
        <sz val="10"/>
        <color theme="1"/>
        <rFont val="Arial Nova"/>
        <family val="2"/>
      </rPr>
      <t xml:space="preserve">
Number of farmers benefitting from enhanced services and assets </t>
    </r>
    <r>
      <rPr>
        <b/>
        <sz val="10"/>
        <color theme="1"/>
        <rFont val="Arial Nova"/>
        <family val="2"/>
      </rPr>
      <t>(9000)</t>
    </r>
    <r>
      <rPr>
        <sz val="10"/>
        <color theme="1"/>
        <rFont val="Arial Nova"/>
        <family val="2"/>
      </rPr>
      <t xml:space="preserve">
Cooperatives established, registered, or received training (number, disaggregated)</t>
    </r>
    <r>
      <rPr>
        <b/>
        <sz val="10"/>
        <color theme="1"/>
        <rFont val="Arial Nova"/>
        <family val="2"/>
      </rPr>
      <t xml:space="preserve"> (30)</t>
    </r>
    <r>
      <rPr>
        <sz val="10"/>
        <color theme="1"/>
        <rFont val="Arial Nova"/>
        <family val="2"/>
      </rPr>
      <t xml:space="preserve">
Number of established firms/cooperatives that receive matching grants, with breakdown for women-owned companies </t>
    </r>
    <r>
      <rPr>
        <b/>
        <sz val="10"/>
        <color theme="1"/>
        <rFont val="Arial Nova"/>
        <family val="2"/>
      </rPr>
      <t>(300)</t>
    </r>
    <r>
      <rPr>
        <sz val="10"/>
        <color theme="1"/>
        <rFont val="Arial Nova"/>
        <family val="2"/>
      </rPr>
      <t xml:space="preserve">
Number of young entrepreneurs who receive cash grants or technical assistance </t>
    </r>
    <r>
      <rPr>
        <b/>
        <sz val="10"/>
        <color theme="1"/>
        <rFont val="Arial Nova"/>
        <family val="2"/>
      </rPr>
      <t>(100)</t>
    </r>
    <r>
      <rPr>
        <sz val="10"/>
        <color theme="1"/>
        <rFont val="Arial Nova"/>
        <family val="2"/>
      </rPr>
      <t xml:space="preserve">
Number of beneficiaries in the business development services capacity building program </t>
    </r>
    <r>
      <rPr>
        <b/>
        <sz val="10"/>
        <color theme="1"/>
        <rFont val="Arial Nova"/>
        <family val="2"/>
      </rPr>
      <t>(100)</t>
    </r>
  </si>
  <si>
    <t>National Development Policy (Stratégie du Croissance Accélérée pour le Développement Durable - SCA2D
2018-2021)</t>
  </si>
  <si>
    <t>http://documents1.worldbank.org/curated/en/281071558663293548/pdf/Comoros-Integrated-Development-and-Competitiveness-Project.pdf
http://documents1.worldbank.org/curated/en/765571602862959483/pdf/Comoros-AFRICA-EAST-P164584-Integrated-Development-and-Competitiveness-Project-Procurement-Plan.pdf</t>
  </si>
  <si>
    <t>Programme d’appui a la productivite des TPE/PME</t>
  </si>
  <si>
    <t>14 March 2014</t>
  </si>
  <si>
    <t>Secretary General of the Government</t>
  </si>
  <si>
    <t>Ministry in charge of the Promotion of SMEs</t>
  </si>
  <si>
    <t>Enabling infrastructure, MSME procurement</t>
  </si>
  <si>
    <t>Capacity building MSMEs, Incentives to financial institutions, Other, Payment system infrastructure, Regulatory environment</t>
  </si>
  <si>
    <t xml:space="preserve">* The purpose of this Law is to establish a legal framework and for the implementation of the national policy of support to the State, and
from local authorities to Small and Medium-sized Enterprises, in short SMEs. </t>
  </si>
  <si>
    <r>
      <rPr>
        <b/>
        <sz val="10"/>
        <color theme="1"/>
        <rFont val="Arial Nova"/>
        <family val="2"/>
      </rPr>
      <t>Direct lending:</t>
    </r>
    <r>
      <rPr>
        <sz val="10"/>
        <color theme="1"/>
        <rFont val="Arial Nova"/>
        <family val="2"/>
      </rPr>
      <t xml:space="preserve"> Local and regional authorities can create at regional or local level communal 'SME Finance Fund'. These funds are funded by allocations provided by . Communities subsidies, state subsidies, specialised credit lines, donations from the private sector, and donors or development partners. The sole purpose of these funds is to grant credits for the financing of investment and operating needs of SMEs established on their territory. </t>
    </r>
    <r>
      <rPr>
        <b/>
        <sz val="10"/>
        <color theme="1"/>
        <rFont val="Arial Nova"/>
        <family val="2"/>
      </rPr>
      <t xml:space="preserve">
MSME procurement:</t>
    </r>
    <r>
      <rPr>
        <sz val="10"/>
        <color theme="1"/>
        <rFont val="Arial Nova"/>
        <family val="2"/>
      </rPr>
      <t xml:space="preserve"> The State and its branches, particularly local authorities, the public and semi-public sector undertakings may, in accordance with the provisions of the governing public procurement, subjecting a proportion of public contracts to competition between SMEs recognised under this Act, in the Member States and in the conditions and according to the terms and conditions defined by regulation.
The State may also, in accordance with the provisions of the Code des Marchés (Market Code) public procurement, reserved exclusively for SMEs, certain public contracts. SMEs may conclude, in accordance with the provisions governing public contracts, partnership agreements in the framework of calls for tenders launched by the State and its branches.
</t>
    </r>
    <r>
      <rPr>
        <b/>
        <sz val="10"/>
        <color theme="1"/>
        <rFont val="Arial Nova"/>
        <family val="2"/>
      </rPr>
      <t>Incentives to financial institutions</t>
    </r>
    <r>
      <rPr>
        <sz val="10"/>
        <color theme="1"/>
        <rFont val="Arial Nova"/>
        <family val="2"/>
      </rPr>
      <t xml:space="preserve">: Tax incentives to promote the development of new financial products and the creation of organisations specialising in the financing of SMEs.
</t>
    </r>
    <r>
      <rPr>
        <b/>
        <sz val="10"/>
        <color theme="1"/>
        <rFont val="Arial Nova"/>
        <family val="2"/>
      </rPr>
      <t xml:space="preserve">Regulatory environment: </t>
    </r>
    <r>
      <rPr>
        <sz val="10"/>
        <color theme="1"/>
        <rFont val="Arial Nova"/>
        <family val="2"/>
      </rPr>
      <t>The State takes legislative and regulatory provisions that encourage development leasing, which enables SMEs to acquire or renew their equipment. The State shall create a more attractive environment for SME financing, in particular through the establishment of an institutional framework favourable to the creation of venture capital firms.</t>
    </r>
  </si>
  <si>
    <t>Micro: 
i) Permanently employs less than ten people
ii) Achieves an annual turnover without taxes not exceeding three million CFA francs
Small and Medium:
i) Employs permanently less than two hundred people ii) Achieves a turnover annual tax free not exceeding one billion CFA francs</t>
  </si>
  <si>
    <t>Law N ° 2014-140 of March 24, 2014</t>
  </si>
  <si>
    <t xml:space="preserve">http://extwprlegs1.fao.org/docs/pdf/ivc167058.pdf </t>
  </si>
  <si>
    <t>Le programme Valora</t>
  </si>
  <si>
    <t>to create in the 197 municipalities of Côte d'Ivoire, 220 SMEs specializing in the pre-collection, sorting and recycling of household waste. It is a lasting response to the thorny issue of sanitation and waste management in our cities.</t>
  </si>
  <si>
    <t>220 SMEs specializing in the pre-collection, sorting and recycling of household waste</t>
  </si>
  <si>
    <t xml:space="preserve">http://www.inieci.com/ </t>
  </si>
  <si>
    <t>Fonds de Soutien aux Petites et Moyennes Entreprises (FSPME-COVID19).</t>
  </si>
  <si>
    <t>April 2020</t>
  </si>
  <si>
    <t>The Secretary General of the Government</t>
  </si>
  <si>
    <t>Ministry of Health, Ministry of the Economy, Finance and Public Administration Reform</t>
  </si>
  <si>
    <t>Direct lending, Grants and subsidies</t>
  </si>
  <si>
    <t>Micro-enterprises</t>
  </si>
  <si>
    <r>
      <rPr>
        <b/>
        <sz val="10"/>
        <color theme="1"/>
        <rFont val="Arial Nova"/>
        <family val="2"/>
      </rPr>
      <t xml:space="preserve">Direct lending: </t>
    </r>
    <r>
      <rPr>
        <sz val="10"/>
        <color theme="1"/>
        <rFont val="Arial Nova"/>
        <family val="2"/>
      </rPr>
      <t xml:space="preserve">
*Window 2: Zero rate loan; Beneficiaries: microenterprises(turnover less than or equal to CFAF 30 million), Maximum amount of the subsidy : the amount for the zero-interest loan will be a maximum of 3 months of turnover of the microenterprise calculated on the basis of the annual turnover of the 2019 financial year, within the limit of a ceiling of 5 million FCFA per beneficiary company. Loan term : maximum thirty-six (36) months including nine (9) months of grace; Loan interest rate :: 0%
*Window 3: Low rate loan, Beneficiaries : small businesses (turnover between CFAF 30 and 150 million) and medium-sized enterprises (turnover between CFAF 150 million and 1 billion FCFA), Maximum loan amount: three (3) months of turnover excluding tax calculated on the basis of the 2019 financial year and capped individually at:
-For small businesses: 15 million FCFA;
-For medium-sized enterprises: 100 million FCFA.
Loan term : maximum thirty-six (36) months including nine (9) months of grace concerning the principal. The payment of interest must be made with a deferral of three (3) months after the establishment of the loan.
Loan interest rate : 2.5% including tax.
</t>
    </r>
    <r>
      <rPr>
        <b/>
        <sz val="10"/>
        <color theme="1"/>
        <rFont val="Arial Nova"/>
        <family val="2"/>
      </rPr>
      <t xml:space="preserve">Grants and subsidies: </t>
    </r>
    <r>
      <rPr>
        <sz val="10"/>
        <color theme="1"/>
        <rFont val="Arial Nova"/>
        <family val="2"/>
      </rPr>
      <t>Window 1: Subsidy
Beneficiaries:microenterprises(turnover less than or equal to CFAF 30 million), Maximum amount of the subsidy : the amount for the
non-refundablesubsidywill be CFAF 60,000 per month per employee (i.e. 100% of the minimum wage) over 3 months with a ceiling of 4 employees per company, ie a maximum amount of 720,000 FCFA per beneficiary company payable in one go.</t>
    </r>
  </si>
  <si>
    <t xml:space="preserve">http://www.fspme.agencecipme.ci/assets/doc/Ordonnance%20N%C2%B02020-384%20du%2015%20avril%202020%20portant%20creation,%20attributions,%20organisation%20et%20fonctionnement%20du%20Fonds%20de%20Soutien%20aux%20Petites%20et%20Moyennes%20Entreprises-denomm%C3%A9%20FSPME-COVID19.pdf ;  http://www.fspme.agencecipme.ci/  </t>
  </si>
  <si>
    <t>Charte des Petites, Moyennes Enterprises et de l'Artisanat en Republique Democratique du Congo</t>
  </si>
  <si>
    <t>24 August 2009</t>
  </si>
  <si>
    <t>Ministry of small and medium enterprises</t>
  </si>
  <si>
    <t>* To constitute a frame of reference for the action carried out by the State, in partnership with private actors, to provide the necessary support to SMEs both in terms of funding and training as well as that of implantation infrastructure and tax incentives.</t>
  </si>
  <si>
    <r>
      <rPr>
        <b/>
        <sz val="10"/>
        <color theme="1"/>
        <rFont val="Arial Nova"/>
        <family val="2"/>
      </rPr>
      <t>Regulatory environment:</t>
    </r>
    <r>
      <rPr>
        <sz val="10"/>
        <color theme="1"/>
        <rFont val="Arial Nova"/>
        <family val="2"/>
      </rPr>
      <t xml:space="preserve">
*provide the country with a definition adapted to Congolese realities and criteria for categorizing SMEs;
*provide SMEs with an environment favorable to their expansion;
*organize the relations of PMEAs with large companies, in particular at the level of subcontracting;
*organize the relations of PMEAs among themselves for more synergy and integration of the sector;
*facilitate access to the best research for SMEs and technologies;
*ensure market access on the basis of requirements compatible with priority and general interest objectives;
*promote the spirit of enterprise, innovation and foster the spirit association that will allow SMEs to face new challenges</t>
    </r>
  </si>
  <si>
    <t>Micro: 
i) Between 1 and 5 employees
ii) Annual turnover excluding tax varying between 1 to 10,000 USD
iii) Value of the necessary investments put in place for business activities less than or equal to 10,000 USD; concentrated management mode. 
Small: 
i) Between 6 and 50 employees
ii) Annual turnover excluding taxes varying between 10.001 (ten thousand one) to 50,000 USD
iii) Value of the necessary investments put in place for company activities varying between 10.001 (ten thousand and one) to 150,000 USD; concentrated management mode.
Medium: 
i) Between 51 and 200 employees
ii) Annual turnover excluding taxes varying between 50,001 (fifty thousand one) to 400,000 USD
iii) Net investment varying between 150,001 (one hundred fifty thousand and one) to 350,000 USD; management mode more or less open to decentralization.</t>
  </si>
  <si>
    <t xml:space="preserve">https://www.leganet.cd/Doctrine.textes/Decon/Charte.pme.2009.pdf </t>
  </si>
  <si>
    <t>Strategie Nationale du Secteur des Petites et Moyennes Entreprises</t>
  </si>
  <si>
    <t>28 April 2016</t>
  </si>
  <si>
    <t>PASMIF / UNDP / UNCDF</t>
  </si>
  <si>
    <t>Capacity building financial institutions, Incentives to financial institutions, Payment system infrastructure, Regulatory environment</t>
  </si>
  <si>
    <t>Rural livelihoods, Women, Youth</t>
  </si>
  <si>
    <t>* To promote the emergence of SMEs, employability and empowerment of young people, women and rural areas through the promotion ofsmall and medium-sized business, at all stages of its growth, and in its various sectors of intervention.</t>
  </si>
  <si>
    <r>
      <rPr>
        <b/>
        <sz val="10"/>
        <color theme="1"/>
        <rFont val="Arial Nova"/>
        <family val="2"/>
      </rPr>
      <t xml:space="preserve">Capacity building financial institutions:
</t>
    </r>
    <r>
      <rPr>
        <sz val="10"/>
        <color theme="1"/>
        <rFont val="Arial Nova"/>
        <family val="2"/>
      </rPr>
      <t>* Financial technical assistance for the development of lending activities and provision to users financial knowledge (financial education). 
* Improving financial services to SMEs by training banking staff and segmenting theSME market.</t>
    </r>
    <r>
      <rPr>
        <b/>
        <sz val="10"/>
        <color theme="1"/>
        <rFont val="Arial Nova"/>
        <family val="2"/>
      </rPr>
      <t xml:space="preserve">
Credit guarantee:</t>
    </r>
    <r>
      <rPr>
        <sz val="10"/>
        <color theme="1"/>
        <rFont val="Arial Nova"/>
        <family val="2"/>
      </rPr>
      <t xml:space="preserve"> The development of mesofinance (missing middle) between microcredit addressed to microenterprisesand credit to large formal enterprises or administrations, through  concessional lines of credit or guarantees enabling banks to lend to these VSEs and SMEs, and which can then take a risk that they would not otherwise take. Facilitate access to bank financing for companies for their investment projects andtheir operating credits, in particular, Very Small, Small and Medium Enterprises (VSEs), by acting through the sharing of the risk borne by the bank, and by breaking the lock of thefinancing by compensating for insufficient collateral.
</t>
    </r>
    <r>
      <rPr>
        <b/>
        <sz val="10"/>
        <color theme="1"/>
        <rFont val="Arial Nova"/>
        <family val="2"/>
      </rPr>
      <t xml:space="preserve">Incentives to financial institutions: </t>
    </r>
    <r>
      <rPr>
        <sz val="10"/>
        <color theme="1"/>
        <rFont val="Arial Nova"/>
        <family val="2"/>
      </rPr>
      <t xml:space="preserve">The development of mesofinance (missing middle) between microcredit addressed to microenterprisesand credit to large formal enterprises or administrations, through grants allocated to the SME Support Institution. 
</t>
    </r>
    <r>
      <rPr>
        <b/>
        <sz val="10"/>
        <color theme="1"/>
        <rFont val="Arial Nova"/>
        <family val="2"/>
      </rPr>
      <t>Payment system infrastructure:</t>
    </r>
    <r>
      <rPr>
        <sz val="10"/>
        <color theme="1"/>
        <rFont val="Arial Nova"/>
        <family val="2"/>
      </rPr>
      <t xml:space="preserve"> To promote the use of new banking technologies (e-banking, e-commerce, platforms"Mobile Money", electronic interbank payments, etc.)</t>
    </r>
    <r>
      <rPr>
        <b/>
        <sz val="10"/>
        <color theme="1"/>
        <rFont val="Arial Nova"/>
        <family val="2"/>
      </rPr>
      <t xml:space="preserve">
Regulatory environment: </t>
    </r>
    <r>
      <rPr>
        <sz val="10"/>
        <color theme="1"/>
        <rFont val="Arial Nova"/>
        <family val="2"/>
      </rPr>
      <t>Propose legislation of the “Small Business Act” type, intended to benefit small and medium-sized enterprises by integrating the measures adopted by the government and referring to the SNPME.</t>
    </r>
  </si>
  <si>
    <t xml:space="preserve">Not specified  </t>
  </si>
  <si>
    <t>Strategie nationale du secteur des petites et moyennes entreprises IC / UNCDF / 345 Int / 2015</t>
  </si>
  <si>
    <t>Partial guarantee Fund</t>
  </si>
  <si>
    <t>Djibouti Ministry of Economy and Finance</t>
  </si>
  <si>
    <t>* To reduce the risk taken by credit institutions and encourage the loans that will be granted.</t>
  </si>
  <si>
    <r>
      <rPr>
        <b/>
        <sz val="10"/>
        <color theme="1"/>
        <rFont val="Arial Nova"/>
        <family val="2"/>
      </rPr>
      <t xml:space="preserve">Credit guarantee: </t>
    </r>
    <r>
      <rPr>
        <sz val="10"/>
        <color theme="1"/>
        <rFont val="Arial Nova"/>
        <family val="2"/>
      </rPr>
      <t>Loans of 2 to 3 million Djibouti francs (11,000 to 17,000 dollars), those of Very small enteprises concerning loans of 3 to 10 million FDJ ( 17,000 to 56,000 dollars) and SME projects with loans of 10 to 30 million FDJ (56,000 to 168,000 dollars).</t>
    </r>
  </si>
  <si>
    <t xml:space="preserve"> Decree No. 2016-095/PR/MEFCI</t>
  </si>
  <si>
    <t>https://www.presidence.dj/conseilministresuite.php?ID=7&amp;ID2=2016-03-15
http://www.guichet-unique.dj/wp-content/uploads/2018/04/D%C3%A9cret-n2016-095.pdf
http://french.xinhuanet.com/2019-09/09/c_138378248.htm</t>
  </si>
  <si>
    <t>Djibouti Support for Women and Youth Entrepreneurship</t>
  </si>
  <si>
    <t>Ministry of Economy and Finance</t>
  </si>
  <si>
    <t>Center for Leadership and Entrepreneurship</t>
  </si>
  <si>
    <t>Grants and subsidies, Enabling Infrastructure</t>
  </si>
  <si>
    <t>* To improve economic opportunities for targeted entrepreneurs.</t>
  </si>
  <si>
    <r>
      <rPr>
        <b/>
        <sz val="10"/>
        <color theme="1"/>
        <rFont val="Arial Nova"/>
        <family val="2"/>
      </rPr>
      <t xml:space="preserve">Grants and subsidies: </t>
    </r>
    <r>
      <rPr>
        <sz val="10"/>
        <color theme="1"/>
        <rFont val="Arial Nova"/>
        <family val="2"/>
      </rPr>
      <t xml:space="preserve">Grants will be given to newly registered formal enterprises created by women and young entrepreneurs who were trained and certified under the training program.
</t>
    </r>
    <r>
      <rPr>
        <b/>
        <sz val="10"/>
        <color theme="1"/>
        <rFont val="Arial Nova"/>
        <family val="2"/>
      </rPr>
      <t xml:space="preserve">Other: </t>
    </r>
    <r>
      <rPr>
        <sz val="10"/>
        <color theme="1"/>
        <rFont val="Arial Nova"/>
        <family val="2"/>
      </rPr>
      <t xml:space="preserve">Investing in developing the ecosystem through providing technical assistance to the Partial guarantee fund. Supporting the incubation services of the Center for Leadership and Entrepreneurship. As part of sub-component two of the program referred to as "Increasing access to finance for MSME's" the program will also be providing  technical assistance for the MSME PCG Fund. Technical support will be provided for the activation and daily operation of the PCG Fund, including support for governance of the PCG Fund based on international best practice, creation of a Board, engagement with commercial banks, plan for private co-financing, etc. </t>
    </r>
  </si>
  <si>
    <t>Number of new firms registered by entrepreneurs accessing project supported services (1000)
% of new women-led firms registered by entrepreneurs accessing project supported services (50%)
% of new youth-led firms registered by entrepreneurs accessing project supported services (90%)
Number of beneficiaries accessing finance through the project (5000)
% of beneficiaries accessing finance through the project (50%)
% of beneficiaries accessing finance through the project (90%)
Number of beneficiaries receiving training completion certificates under the project (3000)</t>
  </si>
  <si>
    <t>No sub-interventions/facilities specified</t>
  </si>
  <si>
    <t>Number of beneficiaries receiving training completion certificates under the project (85)</t>
  </si>
  <si>
    <t>http://documents1.worldbank.org/curated/en/462471527192967678/pdf/DJIBOUTI-PAD-05212018.pdf
https://projects.worldbank.org/en/projects-operations/project-detail/P165558</t>
  </si>
  <si>
    <t>Promoting Innovation for Inclusive Financial Access Project</t>
  </si>
  <si>
    <t>International Bank For Reconstruction And Development</t>
  </si>
  <si>
    <t>MSME Development Agency</t>
  </si>
  <si>
    <t>Direct Lending, Enabling infrastructure</t>
  </si>
  <si>
    <t>Capacity building MSMEs, Regulatory environment</t>
  </si>
  <si>
    <t>Youth, Women</t>
  </si>
  <si>
    <t>Commercial Banks, MFIs, NGOs, Other financial institutions</t>
  </si>
  <si>
    <t>* To expand access to finance for MSEs in Egypt, using innovative financing mechanisms, with a special focus on youth and women, as well as underserved regions.</t>
  </si>
  <si>
    <r>
      <rPr>
        <b/>
        <sz val="10"/>
        <color theme="1"/>
        <rFont val="Arial Nova"/>
        <family val="2"/>
      </rPr>
      <t xml:space="preserve">Capacity building MSMEs: </t>
    </r>
    <r>
      <rPr>
        <sz val="10"/>
        <color theme="1"/>
        <rFont val="Arial Nova"/>
        <family val="2"/>
      </rPr>
      <t xml:space="preserve">Through launching of a finance application, Tamweely, aimed at educating MSME's on alternative finance, the TA conducted was able to upskill egyptian entrepreneurs. Through partnerships the TA to entrepreneurs was able to leverage local and international experts
</t>
    </r>
    <r>
      <rPr>
        <b/>
        <sz val="10"/>
        <color theme="1"/>
        <rFont val="Arial Nova"/>
        <family val="2"/>
      </rPr>
      <t xml:space="preserve">Direct Lending: </t>
    </r>
    <r>
      <rPr>
        <sz val="10"/>
        <color theme="1"/>
        <rFont val="Arial Nova"/>
        <family val="2"/>
      </rPr>
      <t xml:space="preserve">The project provided a line of credit worth $300 million through he MSME Development Agency through using PFI's to MSMEs. Several financing mechanisms were used including financial leasing, factoring and a venture capital.
</t>
    </r>
    <r>
      <rPr>
        <b/>
        <sz val="10"/>
        <color theme="1"/>
        <rFont val="Arial Nova"/>
        <family val="2"/>
      </rPr>
      <t>Regulatory environment:</t>
    </r>
    <r>
      <rPr>
        <sz val="10"/>
        <color theme="1"/>
        <rFont val="Arial Nova"/>
        <family val="2"/>
      </rPr>
      <t xml:space="preserve"> The MSME TA Facility, was able support the legislative and regulatory reforms in the microfinance sector that would benefit the most vulnerable MSME's in Egypt.</t>
    </r>
  </si>
  <si>
    <t xml:space="preserve"> Direct project beneficiaries (103,900 beneficiaries), Youth-owned businesses served by the line of credit (40 percent), Women-owned businesses as a percent of total businesses served by the line of credit (30 percent), Number of women served through the line of credit (38,500 women), Number of small enterprise clients (4,900
clients), Number of microfinance enterprise clients
(126,000 clients)</t>
  </si>
  <si>
    <t>Micro: Annual turnover of less than LE 1 million or a capital investment of less than LE 50,000.
Small: Annual turnover of LE 1 million to LE 50 million, or a recently established industrial enterprise with a capital investment between LE 50,000 and LE 5 million, or a nonindustrial enterprise with a capital investment between LE 50,000 and LE 3 million.
Medium: Annual turnover of LE 50 million to LE 200 million, or a recently established industrial enterprise with a capital investment between LE 5 million and LE 15 million, or a nonindustrial enterprise with a capital investment between LE 3 million and LE 5 million.</t>
  </si>
  <si>
    <t>174,588 entrepreneurs reached
Youth-owned businesses served by the line of credit (44 percent)
 Women-owned businesses as a percent of total businesses served by the line of credit (42 percent)
 Number of women served through the line of credit (73,856 women)
Number of microfinance enterprise clients (167,677 clients)
Number of small enterprise clients ((6,911 clients)</t>
  </si>
  <si>
    <t xml:space="preserve"> 302,937 job opportunities created</t>
  </si>
  <si>
    <t>http://documents1.worldbank.org/curated/en/100661593617404648/pdf/Egypt-Arab-Republic-of-Promoting-Innovation-for-Inclusive-Financial-Access-Project.pdf
https://www.worldbank.org/en/results/2020/04/22/empowering-egyptian-entrepreneurs
https://projects.worldbank.org/en/projects-operations/document-detail/P146244#</t>
  </si>
  <si>
    <t>MSME Development Agency Covid-19 support to MSME's</t>
  </si>
  <si>
    <t>* To ensure the continuity of businesses</t>
  </si>
  <si>
    <r>
      <rPr>
        <b/>
        <sz val="10"/>
        <color theme="1"/>
        <rFont val="Arial Nova"/>
        <family val="2"/>
      </rPr>
      <t xml:space="preserve">Direct lending: </t>
    </r>
    <r>
      <rPr>
        <sz val="10"/>
        <color theme="1"/>
        <rFont val="Arial Nova"/>
        <family val="2"/>
      </rPr>
      <t>One year loans of up to 1 million LE will be disbursed to support businesses with operational expenses during Covid-19.</t>
    </r>
  </si>
  <si>
    <t>http://www.msmeda.org.eg/NewsDetailes119.html
https://egyptindependent.com/egypt-launches-initiative-to-provide-small-businesses-with-le1-million-loans/
https://www.unido.org/sites/default/files/files/2020-08/UNIDO_Working_Paper_COVID19_SHIP_Project.pdf</t>
  </si>
  <si>
    <t>SME unit of the Egyptian Banking Institute (EBI)</t>
  </si>
  <si>
    <t>Egyptian Banking institution</t>
  </si>
  <si>
    <t>Egyptian Banking Institution</t>
  </si>
  <si>
    <t>* Bridging the gap between bankers and SMEs and facilitating SMEs access to finance to create an enabling Ecosystem for them in Egypt.</t>
  </si>
  <si>
    <r>
      <t xml:space="preserve">Capacity building financial institutions: </t>
    </r>
    <r>
      <rPr>
        <sz val="10"/>
        <color theme="1"/>
        <rFont val="Arial Nova"/>
        <family val="2"/>
      </rPr>
      <t xml:space="preserve">The Egyptian Banking Institution assists financial institutions in helping them set up SME banking within their operations with the necessary infrastructure and tools to facilitate the process of extending good quality lending to the SME sector. They provide training programs related to SME banking for bankers and product development for SME banking to equip financial institutions in providing and developing better SME finance options. </t>
    </r>
    <r>
      <rPr>
        <b/>
        <sz val="10"/>
        <color theme="1"/>
        <rFont val="Arial Nova"/>
        <family val="2"/>
      </rPr>
      <t xml:space="preserve">
Capacity building MSMEs:  </t>
    </r>
    <r>
      <rPr>
        <sz val="10"/>
        <color theme="1"/>
        <rFont val="Arial Nova"/>
        <family val="2"/>
      </rPr>
      <t>The Egyptian banking Institutions also trains entrepreneurs and provides them with SME certificates for passing the courses.</t>
    </r>
  </si>
  <si>
    <t>The Egyptian Banking Institute (EBI) was established under the Egyptian Law No. 78 in 1991</t>
  </si>
  <si>
    <t>Todate 4000 entrepreneurs have been trained.</t>
  </si>
  <si>
    <t>https://oxfordbusinessgroup.com/analysis/opening-doors-lending-initiatives-are-increasing-access-finance-small-and-medium-sized-enterprises
https://www.ebi.gov.eg/small-and-medium-enterprises/
https://www.researchgate.net/publication/312121368_Small_and_Medium_Enterprises_in_Egypt_New_Facts_from_a_New_Dataset</t>
  </si>
  <si>
    <t>SME 2020 initiative</t>
  </si>
  <si>
    <t>December 2015</t>
  </si>
  <si>
    <t>Central Bank of Egypt</t>
  </si>
  <si>
    <t>Commercial Banks</t>
  </si>
  <si>
    <t>* The objective of the policy is to provide EG£200 billion (€23.6 billion) of financing to 350,000 SMEs. In addition, banks will be required to increase the percentage of loans allocated to this sector to 20 per cent of their total loans portfolio.</t>
  </si>
  <si>
    <r>
      <rPr>
        <b/>
        <sz val="10"/>
        <rFont val="Arial Nova"/>
        <family val="2"/>
      </rPr>
      <t xml:space="preserve">Credit guarantee: </t>
    </r>
    <r>
      <rPr>
        <sz val="10"/>
        <rFont val="Arial Nova"/>
        <family val="2"/>
      </rPr>
      <t>It added that will also launch a mechanism to minimise the risks faced by banks while financing SMEs, and has already launched consultations to restructure a credit guarantor in order to provide banks with guarantees.</t>
    </r>
    <r>
      <rPr>
        <sz val="10"/>
        <color theme="1"/>
        <rFont val="Arial Nova"/>
        <family val="2"/>
      </rPr>
      <t xml:space="preserve">
</t>
    </r>
    <r>
      <rPr>
        <b/>
        <sz val="10"/>
        <color theme="1"/>
        <rFont val="Arial Nova"/>
        <family val="2"/>
      </rPr>
      <t xml:space="preserve">Incentives to financial institutions: </t>
    </r>
    <r>
      <rPr>
        <sz val="10"/>
        <color theme="1"/>
        <rFont val="Arial Nova"/>
        <family val="2"/>
      </rPr>
      <t xml:space="preserve">The program mandates that banks increase their percentage of loans to SME's up to 20%. To encourage banks to do this, banks will receive a declining interest rate of five per cent annually, applied on the loans offered to SME's with annual revenues ranging between EG£1m to EG£ 20 million. In total the SME sector will provided with EGP 200 billion over years at an interest rate of 5%. </t>
    </r>
  </si>
  <si>
    <t>350 000 MSMEs and creating 4million jobs</t>
  </si>
  <si>
    <t>Micro: Annual turnover of less than LE 1 million and less than 10 employees
Very small: Annual turnover between LE 1 million and LE 10 million with less than 200 employees
Small: Annual turnover between LE 10 million and LE 20 million with less than 200 employees
Medium: Annual turnover between LE 20 million and LE 100 million with less than 200 employees</t>
  </si>
  <si>
    <t>86000 MSME' projects financed</t>
  </si>
  <si>
    <t>160 billion disbursed</t>
  </si>
  <si>
    <t>https://www.mfw4a.org/news/egypt-unveils-new-programme-finance-350000-smes
https://dailynewsegypt.com/2020/01/30/renewing-sme-initiative-for-another-4-years-cbes-amer/</t>
  </si>
  <si>
    <t>OPEC credit line to SME's in Egypt</t>
  </si>
  <si>
    <t>Arabic</t>
  </si>
  <si>
    <t>OPEC</t>
  </si>
  <si>
    <t>Social Fund for Development (now known as the MSME Development Fund)</t>
  </si>
  <si>
    <t>Women, Micro enterprises</t>
  </si>
  <si>
    <t>* To improve the economic and social conditions of poor families through financing small and micro enterprises</t>
  </si>
  <si>
    <r>
      <rPr>
        <b/>
        <sz val="10"/>
        <color theme="1"/>
        <rFont val="Arial Nova"/>
        <family val="2"/>
      </rPr>
      <t xml:space="preserve">Direct lending: </t>
    </r>
    <r>
      <rPr>
        <sz val="10"/>
        <color theme="1"/>
        <rFont val="Arial Nova"/>
        <family val="2"/>
      </rPr>
      <t xml:space="preserve">Providing loans to microenterprises. The value of the loans provided to intermediate institutions ranges between 1,000 to 25,000 LE. The total amount extended is USD 40 million. The loan targets marginalized groups, which include low-income unemployed women, small farmers, fishermen, and small entrepreneurs. </t>
    </r>
  </si>
  <si>
    <t>Provide loans to about 6,500 micro-enterprises to provide 23,000 jobs.</t>
  </si>
  <si>
    <t>https://www.arabfinance.com/ar/news/details/egypt-economy/357871</t>
  </si>
  <si>
    <t>Nile Stock Exchange</t>
  </si>
  <si>
    <t>Nile stock exchange</t>
  </si>
  <si>
    <t>* Providing a market for companies and small enterprises, and the nascent market began to attract many small-sized companies, who are looking for small funds to complete their expansions or enter new field.</t>
  </si>
  <si>
    <r>
      <rPr>
        <b/>
        <sz val="10"/>
        <color theme="1"/>
        <rFont val="Arial Nova"/>
        <family val="2"/>
      </rPr>
      <t xml:space="preserve">Stock market development: </t>
    </r>
    <r>
      <rPr>
        <sz val="10"/>
        <color theme="1"/>
        <rFont val="Arial Nova"/>
        <family val="2"/>
      </rPr>
      <t>The Nile Stock Exchange is a dedicated SME stock exchange that enables small-sized companies to list in the hopes of acquiring small funding in the form of stock purchases. The minimum capital of member firms will range from LE 500,000 to LE 25 million. There should be no less than 51 public shareholders.</t>
    </r>
  </si>
  <si>
    <t>So far 32 MSME's have listed on the stock exchange</t>
  </si>
  <si>
    <t>https://www.dailynewssegypt.com/2007/10/26/smes-get-a-boost-with-opening-of-stock-exchange-nile-x/</t>
  </si>
  <si>
    <t>April 2017</t>
  </si>
  <si>
    <t xml:space="preserve">Prime Minister </t>
  </si>
  <si>
    <t>Minstry of trade and Industry</t>
  </si>
  <si>
    <t>Direct lending, Credit guarantee, Enabling infrastructure</t>
  </si>
  <si>
    <t>* The development of medium, small and micro enterprises and entrepreneurship by disseminating knowledge and targeting tools, providing a supportive environment, and providing innovative and integrating interventions.</t>
  </si>
  <si>
    <r>
      <rPr>
        <b/>
        <sz val="10"/>
        <color theme="1"/>
        <rFont val="Arial Nova"/>
        <family val="2"/>
      </rPr>
      <t xml:space="preserve">Capacity building MSMEs: </t>
    </r>
    <r>
      <rPr>
        <sz val="10"/>
        <color theme="1"/>
        <rFont val="Arial Nova"/>
        <family val="2"/>
      </rPr>
      <t>There is also a women's program that aim's to train women in obtaining non-financial business development services, accessing various financing agencies.</t>
    </r>
    <r>
      <rPr>
        <b/>
        <sz val="10"/>
        <color theme="1"/>
        <rFont val="Arial Nova"/>
        <family val="2"/>
      </rPr>
      <t xml:space="preserve">
Credit guarantee: </t>
    </r>
    <r>
      <rPr>
        <sz val="10"/>
        <color theme="1"/>
        <rFont val="Arial Nova"/>
        <family val="2"/>
      </rPr>
      <t>The MSMEDA provides its clients with financing services through the banks that it deals with and their branches. Funding starts from more than 10 thousand pounds up to 2 million pounds.</t>
    </r>
    <r>
      <rPr>
        <b/>
        <sz val="10"/>
        <color theme="1"/>
        <rFont val="Arial Nova"/>
        <family val="2"/>
      </rPr>
      <t xml:space="preserve">
Direct lending: </t>
    </r>
    <r>
      <rPr>
        <sz val="10"/>
        <color theme="1"/>
        <rFont val="Arial Nova"/>
        <family val="2"/>
      </rPr>
      <t xml:space="preserve">Through branches of the agency SME's can get access to short-term or medium-term loans. Loan Size: Commercial, service, and agricultural projects and those related to animal production: starts from more than 10 thousand Egyptian pounds (ten thousand) and reaches 3 million Egyptian pounds (three million), and up to 5 million Egyptian pounds (five million) for existing industrial projects and increases to 10 million pounds. Egyptian (ten million) in the case of financing new small projects in the industrial sector as well as in the field of renewable energy. 
</t>
    </r>
    <r>
      <rPr>
        <b/>
        <sz val="10"/>
        <color theme="1"/>
        <rFont val="Arial Nova"/>
        <family val="2"/>
      </rPr>
      <t xml:space="preserve">Regulatory environment: </t>
    </r>
    <r>
      <rPr>
        <sz val="10"/>
        <color theme="1"/>
        <rFont val="Arial Nova"/>
        <family val="2"/>
      </rPr>
      <t>Reviewing and amending laws and legislations that have an impact on micro, small and medium enterprises. They are currently finalising the National MSME Strategy 2020.</t>
    </r>
  </si>
  <si>
    <t>Minister’s Decree No. 947 of 2017 and amended by Resolution No. 2370 of 2018
Egypt Vision 2030</t>
  </si>
  <si>
    <t>The Enterprise Development Authority assisted small, micro and medium enterprises in implementing integration deals between projects, as 1082 deals were executed with amounts valued at LE 92.7 million, and it also trained on entrepreneurship, and the number of trainees reached 37,068 thousand trainees, and 2541 trainers were trained.</t>
  </si>
  <si>
    <t>The Enterprise Development Authority assisted small, micro and medium enterprises in extracting about 89,696 thousand final licenses, about 94,745 thousand temporary licenses, about 101,618 thousand national numbers for the facility, about 18,169 thousand commercial registrations, about 49,888 thousand tax cards, and about 24,629 thousand for social insuranc</t>
  </si>
  <si>
    <t>http://www.msmeda.org.eg/AboutUs.html;
http://www.msmeda.org.eg/services_fund.html
;https://www.oecd-ilibrary.org/sites/9789264304161-11-en/index.html?itemId=/content/component/9789264304161-11-en&amp;__cf_chl_jschl_tk__=468538a73f7d221d798a1d35542ac909d7067809-1605181722-0-AQpOm7tWI5X-Nr1ciFApkRNRnJSTFXbNWQrUnMCWciHBdW3BpsEUVN645Xk2DjISvFs3K0q0eUEVCogkq4Cpdlez5Wk1XbbUC7refR62caQGsxfe3jo1ef_slj8deEwt-C38SltXGNBXtpzVBzaLfFTzo6rXQ5JW9zxoyeYysOA6Xy4gOtSNnTqPP8fxtFUy7YhehZMw-eXPNPRwlmy-7cXGXqzto0H5ziPjbDGEoIPdVPlgXoQeVavK4KHjXj8LSSdC1ctcQE8ZCr576zUcL22yndT8HtFm7KCFlJL781QKqrVGOwQ8nMF8kfTpo1ij9Fv1ujtuaxicBZsMmBwlLEm3Td1Rkyr8SohYWubQEfTYaWPlt-dbMpJz3cSMTW1x0iNR1h3PWffZO2dTzWbrQO4m7JWfsFkZx3wpzhwrZiH9
https://akhbarelyom.com/news/newdetails/3148245/1/-%D8%AA%D9%86%D9%85%D9%8A%D8%A9-%D8%A7%D9%84%D9%85%D8%B4%D8%B1%D9%88%D8%B9%D8%A7%D8%AA--%D9%8A%D9%82%D8%AF%D9%85-%D8%AE%D8%AF%D9%85%D8%A7%D8%AA-%D8%BA%D9%8A%D8%B1-%D9%85%D8%A7%D9%84%D9%8A%D8%A9-%D9%84%D9%84%D8%B4%D8%A8%D8%A7%D8%A8-%D9%88%D8%B1%D9%88%D8%A7%D8%AF-%D8%A7%D9%84%D8%A3%D8%B9%D9%85%D8%A7%D9%84</t>
  </si>
  <si>
    <t>Catalyzing Entrepreneurship for Job Creation Project</t>
  </si>
  <si>
    <t>January 2020</t>
  </si>
  <si>
    <t>June 2025</t>
  </si>
  <si>
    <t>World Bank, International Bank For Reconstruction And Development (funder)</t>
  </si>
  <si>
    <t>Micro, Small, Medium Enterprise Development Agency</t>
  </si>
  <si>
    <t>Credit guarantee, Equity investment or incentives</t>
  </si>
  <si>
    <t>* To foster job creation and improve other economic opportunities for targeted beneficiaries.</t>
  </si>
  <si>
    <r>
      <rPr>
        <b/>
        <sz val="10"/>
        <color theme="1"/>
        <rFont val="Arial Nova"/>
        <family val="2"/>
      </rPr>
      <t xml:space="preserve">Credit guarantee: 
* </t>
    </r>
    <r>
      <rPr>
        <sz val="10"/>
        <color theme="1"/>
        <rFont val="Arial Nova"/>
        <family val="2"/>
      </rPr>
      <t>Provide debt financing for entrepreneurs through financial intermediaries. The component has specific targets for the share of financing for women- and youth-led MSMEs. The total amount disbursed in this form will be USD 146 million Equity and Investment Scheme.
* MSMEDA will invest a maximum of 49 percent in any given fund to remain a minority shareholder. The rest of the equity investments will come from private investors. 
* The total amount disbursed in this form will be USD 90 million.</t>
    </r>
  </si>
  <si>
    <t>Number of entrepreneurs receiving financing through the project (85200)
% of female entrepreneurs receiving financing through the project (30%)
% of youth entrepreneurs receiving financing through the project (30%)
Number of entrepreneurs receiving investments through the project (190)
Create 1million jobs</t>
  </si>
  <si>
    <t>Evaluation of target indicators</t>
  </si>
  <si>
    <t>Micro: Practicing an economic activity with paid-up capital below EGP 0.5 million
Small: Practicing an economic activity with paid-up capital up to EGP 1 million with a maximum of 50 permanent employees</t>
  </si>
  <si>
    <t>Number of entrepreneurs receiving financing through the project (722) - October 28 2020
% of female entrepreneurs receiving financing through the project (26%)
% of youth entrepreneurs receiving financing through the project (34%)</t>
  </si>
  <si>
    <t>2114 jobs created</t>
  </si>
  <si>
    <t>https://projects.worldbank.org/en/projects-operations/project-detail/P162835
http://documents1.worldbank.org/curated/en/904711555812046075/pdf/Egypt-Catalyzing-Entrepreneurship-for-Job-Creation-Project.pdf</t>
  </si>
  <si>
    <t>I-Score Credit Bureau</t>
  </si>
  <si>
    <t>Banks, Social fund for Development, Dun &amp; Bradstreet International, IFC</t>
  </si>
  <si>
    <r>
      <rPr>
        <b/>
        <sz val="10"/>
        <color theme="1"/>
        <rFont val="Arial Nova"/>
        <family val="2"/>
      </rPr>
      <t>Credit information syste</t>
    </r>
    <r>
      <rPr>
        <sz val="10"/>
        <color theme="1"/>
        <rFont val="Arial Nova"/>
        <family val="2"/>
      </rPr>
      <t>m: Egypts first private credit bureau was established in 2007. Information in the credit report is collated from the members of the credit bureau. I-Score provides credit information products and services to help its members assess the creditworthiness of individuals as well as MSMEs</t>
    </r>
  </si>
  <si>
    <t xml:space="preserve">Have 377,100 registered SME's on the credit information system. </t>
  </si>
  <si>
    <t xml:space="preserve">
https://www.eg24.news/2020/03/mohamed-kafafi-president-of-iscore-we-have-17-6-million-registered-customers-and-13-million-credit-inquiries-annually.html
https://www.enterprise-development.org/wp-content/uploads/ScalingUp_SME_Access_to_Financial_Services.pdf</t>
  </si>
  <si>
    <t>Central Bank of Egypt lifts negative listings on credit bureau clients</t>
  </si>
  <si>
    <t>I-score</t>
  </si>
  <si>
    <t>* To alleviate burden on clients during Covid-19 outbreak.</t>
  </si>
  <si>
    <r>
      <rPr>
        <b/>
        <sz val="10"/>
        <color theme="1"/>
        <rFont val="Arial Nova"/>
        <family val="2"/>
      </rPr>
      <t>Credit information system</t>
    </r>
    <r>
      <rPr>
        <sz val="10"/>
        <color theme="1"/>
        <rFont val="Arial Nova"/>
        <family val="2"/>
      </rPr>
      <t>: Suspended black lists (I-Score) for 8,000 enterprises and negative lists for 100,000 individual clients. Reduced the disclosure periods for clients to between six months and one year, instead of the previous periods which could reach 10 years.</t>
    </r>
  </si>
  <si>
    <t>More than 4000 clients to benefit from change in discloure periods.</t>
  </si>
  <si>
    <t>http://english.ahram.org.eg/NewsContent/3/12/366766/Business/Economy/Egypt%E2%80%99s-Central-Bank-suspends-IScore-lists-for-,-e.aspx</t>
  </si>
  <si>
    <t>Decree n° 43/2020 on tax regulations for SME's</t>
  </si>
  <si>
    <t>Ministry of Finance, Economy and Planning</t>
  </si>
  <si>
    <t>* To mitigate the impact of Covid-19 on SME's.</t>
  </si>
  <si>
    <r>
      <rPr>
        <b/>
        <sz val="10"/>
        <color theme="1"/>
        <rFont val="Arial Nova"/>
        <family val="2"/>
      </rPr>
      <t xml:space="preserve">Regulatory environment: 
* </t>
    </r>
    <r>
      <rPr>
        <sz val="10"/>
        <color theme="1"/>
        <rFont val="Arial Nova"/>
        <family val="2"/>
      </rPr>
      <t>The Ministry of Finance, Economy and Planning and the public company SEGESA, will adopt a strategy to minimize the payment of electricity by SMEs (article 19).
* The Ministry of Transport, Posts and Telecommunications, in collaboration with the Ministry of Finance, Economy and Planning and private and public operators, will adopt a strategy aimed at minimizing the payment of Internet services by SMEs.
article 21 of Decree n° 43/2020 provides that the Ministry of Finance, Economy and Planning, in collaboration with the Professional Association of Credit Institutions and representatives of microfinance institutions, shall adopt a strategy to reschedule the repayment of financial credits of SMEs.</t>
    </r>
  </si>
  <si>
    <t>Micro enterprise, any enterprise with an investment is up to XAF10,200,000.
Small enterprises, those with an investment volume more than XAF10,200,000 and less than XAF100 million.
Medium-sized enterprises, those with an investment volume between XAF100 million and XAF500 million.</t>
  </si>
  <si>
    <t>Decree n° 43/2020 </t>
  </si>
  <si>
    <t>https://www.ey.com/en_gl/tax-alerts/equatorial-guinea-announces-new-tax-measures-to-mitigate-impact-of-covid-19</t>
  </si>
  <si>
    <t>Loan Guarantee Program for Small Businesses</t>
  </si>
  <si>
    <t>Governmrnt of Equatorial Guinea, Ministry of Finance, Economy and Planning</t>
  </si>
  <si>
    <t>*To create jobs and create a competitive business environment.</t>
  </si>
  <si>
    <r>
      <rPr>
        <b/>
        <sz val="10"/>
        <color theme="1"/>
        <rFont val="Arial Nova"/>
        <family val="2"/>
      </rPr>
      <t>Credit guarantee:</t>
    </r>
    <r>
      <rPr>
        <sz val="10"/>
        <color theme="1"/>
        <rFont val="Arial Nova"/>
        <family val="2"/>
      </rPr>
      <t xml:space="preserve"> The ministry will cover up to 40% of a loan made by BANGE to small and medium-sized enterprises, should the loan be in default. To do this, SMEs must meet a series of requirements when applying for a loan with BANGE, such as presenting a business plan or operating profit, among others.</t>
    </r>
  </si>
  <si>
    <t>No legal/regulatory framework</t>
  </si>
  <si>
    <t>https://www.blackenterprise.com/equatorial-guinea-small-businesses/</t>
  </si>
  <si>
    <t>Financing for feasibility studies for SME projects</t>
  </si>
  <si>
    <t>Spanish</t>
  </si>
  <si>
    <t>African Development Bank</t>
  </si>
  <si>
    <t>* To accelerate economic activity, industrialization and the increase in production in the different sectors of the country.</t>
  </si>
  <si>
    <r>
      <rPr>
        <b/>
        <sz val="10"/>
        <color theme="1"/>
        <rFont val="Arial Nova"/>
        <family val="2"/>
      </rPr>
      <t xml:space="preserve">Constraint and landscape assessment: </t>
    </r>
    <r>
      <rPr>
        <sz val="10"/>
        <color theme="1"/>
        <rFont val="Arial Nova"/>
        <family val="2"/>
      </rPr>
      <t xml:space="preserve">The ADB offered US $ 400,000 to finance the feasibility studies of the projects of small and medium-sized companies in Equatorial Guinea. </t>
    </r>
  </si>
  <si>
    <t>https://ahoraeg.com/economia/2019/12/03/el-bad-ofrece-400-000-dolares-americanos-para-financiar-los-estudios-de-viabilidad-de-los-proyectos-de-las-pequenas-y-medianas-empresas-en-guinea-ecuatorial/</t>
  </si>
  <si>
    <t>Savings and Micro Credit
Program (SMCP)</t>
  </si>
  <si>
    <t>International Development Association, Ministry of Local Government, Eritrean Community Development Fund</t>
  </si>
  <si>
    <t>Savings and Micro Credit
Program</t>
  </si>
  <si>
    <t>Micro enterprises, Rural livelihoods</t>
  </si>
  <si>
    <t>* Provide financial services to the vulnerable group in the rural and urban areas who have no access to
formal banking services.
* The aim of promoting the private sector in Eritrea by encouraging development and expansion of micro and small enterprises; assisting individuals and groups to increase their income generating capacity for the overall well-being of the community.</t>
  </si>
  <si>
    <r>
      <t xml:space="preserve">Direct lending: </t>
    </r>
    <r>
      <rPr>
        <sz val="10"/>
        <color theme="1"/>
        <rFont val="Arial Nova"/>
        <family val="2"/>
      </rPr>
      <t>Government of Eritrea, the World Bank (IDA) and loans and grants from donors are the main sources of funds for SCP; the SMCP put in place a system of collective loans known as Solidarity Groups (SGs) comprising of 3, 5 or 7 people coming together to request a loan without any prerequisites and, secondly, loans to individual clients</t>
    </r>
    <r>
      <rPr>
        <b/>
        <sz val="10"/>
        <color theme="1"/>
        <rFont val="Arial Nova"/>
        <family val="2"/>
      </rPr>
      <t>;</t>
    </r>
    <r>
      <rPr>
        <sz val="10"/>
        <color theme="1"/>
        <rFont val="Arial Nova"/>
        <family val="2"/>
      </rPr>
      <t xml:space="preserve"> all branch offices provide savings and loans through a system of Village Banks (VBs) and to enable such banks to be established; a minimum of 35 up to 105 clients need to use this VB and if the number of clients increases; a second one will be implemented. Currently, about 538 VBs are up and running nationwide; Hence, about 90% of loans remain SGs ones and some of the sub-categories include Micro-Business Loan (MBL), Irrigated Agricultural Loan (IAL) and Small Seasonal Agricultural Loan (SSAL). The MBL and SSAL are loans destined to small scale activity which doesn’t not necessarily require a license such as ceramics, handicrafts activities among others. Interestingly, about 66% of clients of such loans are women; interest rate of 16% </t>
    </r>
  </si>
  <si>
    <t xml:space="preserve"> number of beneficiaries 54,000 in 2015</t>
  </si>
  <si>
    <t>about 160 million Nakfa were borrowed while 110 million Nakfa returned; In number, in 2014, it provided 350 million Nakfa of loans and collected about 386,000 Nakfa, a net interest income of 50 million Nakfa. Today, SMCP is only providing loans to about 40% of its total demand; about 80% of total staff are from the youth group, mostly holders of degrees or diplomas from Halhale College of Business and a 50/50 gender ratio of 129 female employees out of 260</t>
  </si>
  <si>
    <t>https://shabait.com/2016/12/10/smcp-reaching-nationals-across-the-nation/; https://eprints.lib.hokudai.ac.jp/dspace/bitstream/2115/64297/1/ES_66(2)_067-090.pdf</t>
  </si>
  <si>
    <t>MSME policy</t>
  </si>
  <si>
    <t>2004 (revised 2009)</t>
  </si>
  <si>
    <t>Ministry of Commerce, Industry and Trade</t>
  </si>
  <si>
    <t>SMME unit</t>
  </si>
  <si>
    <t>Capacity building financial institutions, Capacity building MSMEs, Credit information system, Incentives to financial institutions, Regulatory environment, Stock market development</t>
  </si>
  <si>
    <t>People with disabilities, Women, Youth</t>
  </si>
  <si>
    <t>* Facilitate increased access to financial products and services for SMMEs.
* Create an enabling institutional and legislative environment to strengthen the business development support for SMMEs.
* Support for the ease of doing business for the SMMEs through improved business start-up and growth.
* Facilitate and foster a culture of entrepreneurship, innovation and increase ICT usage in the SMME sector.
* Enact into law a legislative framework that will enable the promotion and coordination of the SMME sector.
* Facilitate and foster a culture of entrepreneurship, innovation and increase ICT usage in the SMME sector.
* Support and develop SMMEs owned by women, youth and disadvantaged groups and the informal sector.</t>
  </si>
  <si>
    <r>
      <rPr>
        <b/>
        <sz val="10"/>
        <color theme="1"/>
        <rFont val="Arial Nova"/>
        <family val="2"/>
      </rPr>
      <t>Capacity building MSMEs:</t>
    </r>
    <r>
      <rPr>
        <sz val="10"/>
        <color theme="1"/>
        <rFont val="Arial Nova"/>
        <family val="2"/>
      </rPr>
      <t xml:space="preserve">
* Increase access to appropriate training and development programmes, including technical skills such as marketing, production and planning that will address specific issues that impede the growth and sustainability of the entrepreneurs. 
* Develop and implement plan for a structured mentorship programme through privatepublic-partnerships. 
</t>
    </r>
    <r>
      <rPr>
        <b/>
        <sz val="10"/>
        <color theme="1"/>
        <rFont val="Arial Nova"/>
        <family val="2"/>
      </rPr>
      <t xml:space="preserve">Capacity building financial institutions: </t>
    </r>
    <r>
      <rPr>
        <sz val="10"/>
        <color theme="1"/>
        <rFont val="Arial Nova"/>
        <family val="2"/>
      </rPr>
      <t xml:space="preserve">Support and promote viable methodologies for the on-lending of funds to SMMEs, particularly without the need for traditional collateral
</t>
    </r>
    <r>
      <rPr>
        <b/>
        <sz val="10"/>
        <color theme="1"/>
        <rFont val="Arial Nova"/>
        <family val="2"/>
      </rPr>
      <t xml:space="preserve">Incentives to financial institutions: </t>
    </r>
    <r>
      <rPr>
        <sz val="10"/>
        <color theme="1"/>
        <rFont val="Arial Nova"/>
        <family val="2"/>
      </rPr>
      <t xml:space="preserve">Through moral persuasion and appropriate incentive measures promote the establishment and operation of mechanisms to encourage financial institutions, including banks, to increase lending to the businesses in the rural and peri-urban areas.
</t>
    </r>
    <r>
      <rPr>
        <b/>
        <sz val="10"/>
        <color theme="1"/>
        <rFont val="Arial Nova"/>
        <family val="2"/>
      </rPr>
      <t>Credit guarantee:</t>
    </r>
    <r>
      <rPr>
        <sz val="10"/>
        <color theme="1"/>
        <rFont val="Arial Nova"/>
        <family val="2"/>
      </rPr>
      <t xml:space="preserve">
* Provide financing for the business clusters using the Credit Guarantee Scheme, which eliminates the need for individual collateral.
* Adjust Credit Guarantee Scheme and require less collateral in case of special loans for SMMEs.
</t>
    </r>
    <r>
      <rPr>
        <b/>
        <sz val="10"/>
        <color theme="1"/>
        <rFont val="Arial Nova"/>
        <family val="2"/>
      </rPr>
      <t xml:space="preserve">Credit information system: </t>
    </r>
    <r>
      <rPr>
        <sz val="10"/>
        <color theme="1"/>
        <rFont val="Arial Nova"/>
        <family val="2"/>
      </rPr>
      <t xml:space="preserve">The establishment of the credit infrastructure, secured lending &amp; movable property registry, competitive SME Scoring and the national SMME loan register to minimize the risk perception on the sector and reduce the cost of lending.
</t>
    </r>
    <r>
      <rPr>
        <b/>
        <sz val="10"/>
        <color theme="1"/>
        <rFont val="Arial Nova"/>
        <family val="2"/>
      </rPr>
      <t>Regulatory environment:</t>
    </r>
    <r>
      <rPr>
        <sz val="10"/>
        <color theme="1"/>
        <rFont val="Arial Nova"/>
        <family val="2"/>
      </rPr>
      <t xml:space="preserve">
* The SMME unit has established a one-stop facility for registration, licensing and promotion of SMMEs.
* Have enacted the Citizens empowerment bill 2011 which is to enable equal participation in economic transformation.
*  Improve the efficiency, cost-effectiveness and harmonization of the legal, regulatory and administrative environment for businesses, as well as appropriate incentive packages. 
</t>
    </r>
    <r>
      <rPr>
        <b/>
        <sz val="10"/>
        <color theme="1"/>
        <rFont val="Arial Nova"/>
        <family val="2"/>
      </rPr>
      <t xml:space="preserve">Stock market development: </t>
    </r>
    <r>
      <rPr>
        <sz val="10"/>
        <color theme="1"/>
        <rFont val="Arial Nova"/>
        <family val="2"/>
      </rPr>
      <t>Promote equity financing for the sector, particularly the participation in the Eswatini Stock Exchange through the introduction of less stringent registration rules for SMMEs willing to list on the Exchange.</t>
    </r>
  </si>
  <si>
    <t>Percentage of SMMEs with a deposit account at a regulated financial institution (90%)
Percentage of SMEs with an outstanding loan or line of credit at a regulated financial institution (25%)
SMME loan guarantees as a percentage of SMME loan (in terms of value) (30%)
Percentage of enterprises with access to digital financial services (95%)
Percentage of SMMEs receiving financial services and products from MFI's (30%)</t>
  </si>
  <si>
    <t>Micro:  0-10 employees; assets under E50,000 in value; Turnover up to E60,000
Small: 11 to 20 employees; assets over E50,000 to E2 million in value, up to E3 million
Medium: 21 to 60 employees; assets over E2 million to E5 million in value, up to E8 million</t>
  </si>
  <si>
    <t>Citizens Economic Empowerment Bill, 2011</t>
  </si>
  <si>
    <t>http://www.gov.sz/images/MSME-Policy.pdf</t>
  </si>
  <si>
    <t>Youth Enterprise Revolving Fund</t>
  </si>
  <si>
    <t>Ministry of Sports Culture &amp; Youth Affairs</t>
  </si>
  <si>
    <t>Youth Enterprise revolving Fund</t>
  </si>
  <si>
    <t>Early-stage finance, Enabling infrastructure</t>
  </si>
  <si>
    <t>* Empower the youth to engage in economic and commercial enterprises. 
* Empowering the youth to be self-sustainable.
Facilitating the provision of skills development for loan recipients.
* Providing capacity development and mentorship to youth owned enterprises.
* Providing seed capital to the youth without the need for collateral.
*Financing the growth of existing youth enterprises
* Improving linkages for youth enterprises with relevant stakeholders.</t>
  </si>
  <si>
    <r>
      <rPr>
        <b/>
        <sz val="10"/>
        <color theme="1"/>
        <rFont val="Arial Nova"/>
        <family val="2"/>
      </rPr>
      <t xml:space="preserve">Capacity building MSMEs: </t>
    </r>
    <r>
      <rPr>
        <sz val="10"/>
        <color theme="1"/>
        <rFont val="Arial Nova"/>
        <family val="2"/>
      </rPr>
      <t xml:space="preserve">As a prerequisite, post funding, coaching and mentorship of the young entrepreneurs on an ongoing basis is one of the fundamental to ensure performance and repayability of loans by the youth.
</t>
    </r>
    <r>
      <rPr>
        <b/>
        <sz val="10"/>
        <color theme="1"/>
        <rFont val="Arial Nova"/>
        <family val="2"/>
      </rPr>
      <t xml:space="preserve">Early-stage finance </t>
    </r>
    <r>
      <rPr>
        <sz val="10"/>
        <color theme="1"/>
        <rFont val="Arial Nova"/>
        <family val="2"/>
      </rPr>
      <t>Seed capital loans that are provided are collateral and deposit free. This is aimed at maximising access to credit by youth entrepreneurs.</t>
    </r>
  </si>
  <si>
    <t>Micro: 1-4 employees; turnover of max E2,500
Very Small: 5-9 employees; turnover of max E60,000
Small: 10-49 employees; turnover of max E150,000
Medium: 50-200 employees; turnover of max E600,000</t>
  </si>
  <si>
    <t>The YEF is regulated under the Public Enterprises (Control &amp; Monitoring) Act of 1989.</t>
  </si>
  <si>
    <t>The fund is disbursed in phases. In phase 1, 499 young people received loans in 2010 amounting to E5 800 000 ($828 571.00). In the most recent phase 49 business start-up loans were disbursed totalling E2.8 million (2018/2019)</t>
  </si>
  <si>
    <t>The poor quality of loan applications has resulted in only 49 businesses receiving loans from the Youth Enterprise Revolving Fund (YERF) as opposed to the 270 that had submitted their applications.</t>
  </si>
  <si>
    <t>http://www.gov.sz/index.php?option=com_content&amp;view=category&amp;id=74; http://new.observer.org.sz/details.php?id=8490
https://www.yef.co.sz/about-us.php</t>
  </si>
  <si>
    <t>Post Covid Economic Recovery plan</t>
  </si>
  <si>
    <t>August 2020</t>
  </si>
  <si>
    <t>Ministry of Commerce, Industry and Trade; Central Bank of Eswatini</t>
  </si>
  <si>
    <t>Ministry of Commerce, Industry and Trade,SEDCO, CFI</t>
  </si>
  <si>
    <t>Credit guarantee, Deferral/restructuring of payments, Enabling infrastructure</t>
  </si>
  <si>
    <t>Capacity building MSMEs, Capacity building financial institutions, Payment system infrastructure</t>
  </si>
  <si>
    <t>Agriculture, Manufacturing, Mining, Tourism</t>
  </si>
  <si>
    <t>* To support the GoE’s goal to reverse the decline in economic activities, will enhance productive sectors of the economy, and will create jobs as well as restore the economy into a much higher level of production and productivity.</t>
  </si>
  <si>
    <r>
      <rPr>
        <b/>
        <sz val="10"/>
        <color theme="1"/>
        <rFont val="Arial Nova"/>
        <family val="2"/>
      </rPr>
      <t xml:space="preserve">Capacity building MSMEs: </t>
    </r>
    <r>
      <rPr>
        <sz val="10"/>
        <color theme="1"/>
        <rFont val="Arial Nova"/>
        <family val="2"/>
      </rPr>
      <t xml:space="preserve">To provide a one-stop-shop for the youth to access information on services, public procurement processes, funding opportunities, and all other development opportunities/information.
</t>
    </r>
    <r>
      <rPr>
        <b/>
        <sz val="10"/>
        <color theme="1"/>
        <rFont val="Arial Nova"/>
        <family val="2"/>
      </rPr>
      <t>Credit guarantee:</t>
    </r>
    <r>
      <rPr>
        <sz val="10"/>
        <color theme="1"/>
        <rFont val="Arial Nova"/>
        <family val="2"/>
      </rPr>
      <t xml:space="preserve">
* E5 million to be allocated to informal sector businesses Export Guarantee Scheme:Initial capitalisation of E4 million
* Recalibrating screening criteria for Loan Guarantee Scheme: (Guarantee capacity of around E160 Million).
* MSME Interest-free Loans (lending capacity E1 million). 
</t>
    </r>
    <r>
      <rPr>
        <b/>
        <sz val="10"/>
        <color theme="1"/>
        <rFont val="Arial Nova"/>
        <family val="2"/>
      </rPr>
      <t xml:space="preserve">Capacity building financial institutions: </t>
    </r>
    <r>
      <rPr>
        <sz val="10"/>
        <color theme="1"/>
        <rFont val="Arial Nova"/>
        <family val="2"/>
      </rPr>
      <t xml:space="preserve">To increase access to credit and participation of MSMEs in the economy. 
</t>
    </r>
    <r>
      <rPr>
        <b/>
        <sz val="10"/>
        <color theme="1"/>
        <rFont val="Arial Nova"/>
        <family val="2"/>
      </rPr>
      <t xml:space="preserve">Deferral/restructuring of payments: </t>
    </r>
    <r>
      <rPr>
        <sz val="10"/>
        <color theme="1"/>
        <rFont val="Arial Nova"/>
        <family val="2"/>
      </rPr>
      <t xml:space="preserve">Extension of repayment period and/or payment holiday during the current COVID-19 pandemic.
</t>
    </r>
    <r>
      <rPr>
        <b/>
        <sz val="10"/>
        <color theme="1"/>
        <rFont val="Arial Nova"/>
        <family val="2"/>
      </rPr>
      <t>Payment system infrastructure:</t>
    </r>
    <r>
      <rPr>
        <sz val="10"/>
        <color theme="1"/>
        <rFont val="Arial Nova"/>
        <family val="2"/>
      </rPr>
      <t xml:space="preserve"> Localise clearing of card payments. Currently, card payment transactions are cleared in South Africa, at a massive cost to local business and citizens.</t>
    </r>
  </si>
  <si>
    <t>Not specific to MSMEs but for the entire sector</t>
  </si>
  <si>
    <t>Establishing the MSME revolving fund with an initial capitalisation of E45 million</t>
  </si>
  <si>
    <t>It is not to replace but rather is to keep economic progress in line with the The Kingdom of Eswatini Strategic Roadmap 2019-2022; The National Development Strategy (NDS); and the National Development Plan (NDP) 2019-2022; The Strategy for Sustainable Development and Inclusive Growth (SSDIG)</t>
  </si>
  <si>
    <t>SDG 1: No Poverty by channelling every liSwati to productive economic activities; SDG 2: Zero Hunger; SDG 8: Decent work and economic growth; and SDG 9: Industry, innovation, and infrastructure development.</t>
  </si>
  <si>
    <t>https://www.separc.co.sz/wp-content/uploads/2020/08/FINAL-POST-COVID-19-ECONOMIC-RECOVERY-PLAN-ESWATINI-14082020_compressed-1.pdf</t>
  </si>
  <si>
    <t>MSME Revolving Fund</t>
  </si>
  <si>
    <t>Post Covid Economic Recovery Plan</t>
  </si>
  <si>
    <t>* Assisting small and medium businesses that have been adversely affected by the impact of the COVID-19 pandemic.</t>
  </si>
  <si>
    <r>
      <rPr>
        <b/>
        <sz val="10"/>
        <color theme="1"/>
        <rFont val="Arial Nova"/>
        <family val="2"/>
      </rPr>
      <t>Direct lending:</t>
    </r>
    <r>
      <rPr>
        <sz val="10"/>
        <color theme="1"/>
        <rFont val="Arial Nova"/>
        <family val="2"/>
      </rPr>
      <t xml:space="preserve"> Establishing the MSME revolving fund with an initial capitalisation of E45 million.</t>
    </r>
  </si>
  <si>
    <t>http://www.times.co.sz/business/129927-still-no-beneficiary-in-e45m-relief.html
http://new.observer.org.sz/details.php?id=14166
https://www.separc.co.sz/wp-content/uploads/2020/08/FINAL-POST-COVID-19-ECONOMIC-RECOVERY-PLAN-ESWATINI-14082020_compressed-1.pdf
https://independentnews.co.sz/government-announces-45-million-msme-revolving-fund/</t>
  </si>
  <si>
    <t>SME's E90 million Relief</t>
  </si>
  <si>
    <t>Prime Minister</t>
  </si>
  <si>
    <t>Swaziland Revenue Authority</t>
  </si>
  <si>
    <t>* To provide relief support to SME's who have been tax compliant and were affected by COVID-19</t>
  </si>
  <si>
    <r>
      <rPr>
        <b/>
        <sz val="10"/>
        <color theme="1"/>
        <rFont val="Arial Nova"/>
        <family val="2"/>
      </rPr>
      <t xml:space="preserve">Deferral/restructuring of payments: </t>
    </r>
    <r>
      <rPr>
        <sz val="10"/>
        <color theme="1"/>
        <rFont val="Arial Nova"/>
        <family val="2"/>
      </rPr>
      <t>Refund for tax paid in the tax year 2019 on a month-on-month basis at 25% for each month completed.</t>
    </r>
  </si>
  <si>
    <t>Turnover of up to E8 million</t>
  </si>
  <si>
    <t>http://www.sra.org.sz/documents/1587564368.pdf</t>
  </si>
  <si>
    <t>Micro and Small Enterprise Development Policy &amp; Strategy</t>
  </si>
  <si>
    <t>Ministry of Urban Development &amp; Housing</t>
  </si>
  <si>
    <t xml:space="preserve">Manufacturing, Trade, Services, Construction, Mining </t>
  </si>
  <si>
    <t>The objective of the policy is to:
i) Create extensive employment opportunities to increase income, reduce poverty and enhance equitable distribution of income, reduce poverty and enhance equitable distribution of income.
ii) To contribute towards competitive and sustainable economic growth thereby creating foundations for industrial development and linkages with rural development.
iii) To create broad based developmental investors in urban centers.</t>
  </si>
  <si>
    <r>
      <rPr>
        <b/>
        <sz val="10"/>
        <color theme="1"/>
        <rFont val="Arial Nova"/>
        <family val="2"/>
      </rPr>
      <t>Early-stage finance:</t>
    </r>
    <r>
      <rPr>
        <sz val="10"/>
        <color theme="1"/>
        <rFont val="Arial Nova"/>
        <family val="2"/>
      </rPr>
      <t xml:space="preserve"> Facilitating access to startup capital.
</t>
    </r>
    <r>
      <rPr>
        <b/>
        <sz val="10"/>
        <color theme="1"/>
        <rFont val="Arial Nova"/>
        <family val="2"/>
      </rPr>
      <t xml:space="preserve">Capacity Building MSMEs: </t>
    </r>
    <r>
      <rPr>
        <sz val="10"/>
        <color theme="1"/>
        <rFont val="Arial Nova"/>
        <family val="2"/>
      </rPr>
      <t>Operators shall be provided with training in basic financial record keeping and accounting skills. Start-up MSMEs shall be provided with training to help them start their business.</t>
    </r>
  </si>
  <si>
    <t>Small: 
i) For the industrial sector (including manufacturing, construction and mining): This refers to enterprises employing 6-30 persons and with a total asset of from ETB 100,001 up to ETB 1,500,000 (USD 4,630 up to USD 69,500).
ii) For the service sector (retail, transport, hotel, tourism and information technology and maintenance services): This refers to enterprises that are employing 6-30 persons, and with total asset of at least ETB 50,001 and up to ETB 500,000 (USD 2,310 up to USD 23,150)</t>
  </si>
  <si>
    <t>https://www.cmpethiopia.org/content/download/2366/10048/file/MoUDH%20MSE%20Development%20Policy%20&amp;%20%20Strategy%20280416.pdf</t>
  </si>
  <si>
    <t>SME Finance Project</t>
  </si>
  <si>
    <t>17 May 2016</t>
  </si>
  <si>
    <t>31 August 2022</t>
  </si>
  <si>
    <t>National Bank of Ethiopia, Development Bank of Ethiopia, Federal Small and Medium Manufacturing Industry Development Agency</t>
  </si>
  <si>
    <t>Direct lending, Enabling infrastructure, Trade/supply chain finance</t>
  </si>
  <si>
    <t>* The objective of the small and medium enterprise finance project for Ethiopia is to increase access to finance for eligible SMEs in Ethiopia.</t>
  </si>
  <si>
    <r>
      <rPr>
        <b/>
        <sz val="10"/>
        <color theme="1"/>
        <rFont val="Arial Nova"/>
        <family val="2"/>
      </rPr>
      <t xml:space="preserve">Collateral registry: </t>
    </r>
    <r>
      <rPr>
        <sz val="10"/>
        <color theme="1"/>
        <rFont val="Arial Nova"/>
        <family val="2"/>
      </rPr>
      <t>The project will support the hardware and associated software requirements, licenses, capacity building and training for a centralised electronic collateral registry</t>
    </r>
    <r>
      <rPr>
        <b/>
        <sz val="10"/>
        <color theme="1"/>
        <rFont val="Arial Nova"/>
        <family val="2"/>
      </rPr>
      <t xml:space="preserve">. 
Direct lending: </t>
    </r>
    <r>
      <rPr>
        <sz val="10"/>
        <color theme="1"/>
        <rFont val="Arial Nova"/>
        <family val="2"/>
      </rPr>
      <t xml:space="preserve">A credit facility will be created to provide access to finance for working capital and leasing finance for participating financial institutions and leasing finance for eligible SMEs
</t>
    </r>
    <r>
      <rPr>
        <b/>
        <sz val="10"/>
        <color theme="1"/>
        <rFont val="Arial Nova"/>
        <family val="2"/>
      </rPr>
      <t xml:space="preserve">Trade/supply chain finance: </t>
    </r>
    <r>
      <rPr>
        <sz val="10"/>
        <color theme="1"/>
        <rFont val="Arial Nova"/>
        <family val="2"/>
      </rPr>
      <t>A credit facility will be created to provide access to finance for working capital and leasing finance for participating financial institutions and leasing finance for eligible SMEs</t>
    </r>
  </si>
  <si>
    <t>Volume of financial support to SMEs under the credit facility: $ 269,000,000, Number of SMEs targeted with financial services under the credit facility: 2152</t>
  </si>
  <si>
    <t>Volume of financial support to SMEs under the credit facility as of 10 June 2020: $177,400,000. Number of SMEs reached with financial services under the credit facility as of 10 June 2020: 1378</t>
  </si>
  <si>
    <t>Number of loans/leases disbursed to SMEs under the credit facility as of 10 June 2020: 1627 (Target: 3873). Number of SMEs that received training through the Business Development Services (BDS) under the project as of 10 June 2020: 135 (Target: 912)</t>
  </si>
  <si>
    <t>https://projects.worldbank.org/en/projects-operations/project-detail/P148447</t>
  </si>
  <si>
    <t>Cepheus Ethiopia SME Fund</t>
  </si>
  <si>
    <t>27 June 2017</t>
  </si>
  <si>
    <t>European Investment Bank</t>
  </si>
  <si>
    <t>Manufacturing, Services, Agriculture</t>
  </si>
  <si>
    <t>* The objective of the fund is to provide growth capital for Ethiopian SMEs with a strong focus on job creation and sustainable financial returns.</t>
  </si>
  <si>
    <r>
      <rPr>
        <b/>
        <sz val="10"/>
        <color theme="1"/>
        <rFont val="Arial Nova"/>
        <family val="2"/>
      </rPr>
      <t>Equity investment or incentives:</t>
    </r>
    <r>
      <rPr>
        <sz val="10"/>
        <color theme="1"/>
        <rFont val="Arial Nova"/>
        <family val="2"/>
      </rPr>
      <t xml:space="preserve"> The operation is EIB's first investment in Ethiopia, supporting a first-time manager with a focus on generating superior developmental returns. The main objective of the fund consists of acquiring significant minority stakes in businesses with a strong growth potential. The manager will seek to create value through a hands-on management approach, driving the growth and profitability of investee companies and enhancing enterprise skills, governance as wel as environmental and social standards.</t>
    </r>
  </si>
  <si>
    <t>https://www.eib.org/en/projects/pipelines/all/20170078</t>
  </si>
  <si>
    <t>Khalifa Fund for Enterprise Development</t>
  </si>
  <si>
    <t>Ministry of Finance and Economic Cooperation</t>
  </si>
  <si>
    <t>Women, Start ups</t>
  </si>
  <si>
    <t>* The objective of the fund is to support and finance micro,small and medium sized projects in Ethiopia.</t>
  </si>
  <si>
    <r>
      <rPr>
        <b/>
        <sz val="10"/>
        <color theme="1"/>
        <rFont val="Arial Nova"/>
        <family val="2"/>
      </rPr>
      <t xml:space="preserve">Direct lending: </t>
    </r>
    <r>
      <rPr>
        <sz val="10"/>
        <color theme="1"/>
        <rFont val="Arial Nova"/>
        <family val="2"/>
      </rPr>
      <t>The US$100 million loan agreement is expected to finance about 37000 projects over the next 4 years and create over 200,000 job opportunities for young people.</t>
    </r>
  </si>
  <si>
    <t>https://amunicorns.com/khalifa-fund-support-finance-projects-in-federal-democratic-republic-of-ethiopia/</t>
  </si>
  <si>
    <t>Women Entrepreneurship Development Project</t>
  </si>
  <si>
    <t>31 December 2021</t>
  </si>
  <si>
    <t>Ministry of Trade and Industry</t>
  </si>
  <si>
    <t>Development Bank of Ethiopia ad the Federal Agency for Urban Job Creation</t>
  </si>
  <si>
    <t xml:space="preserve">* The objective of the project is to increase the earnings and employment of Micro and Small Enterprises (MSEs) owned or partly owned by participating female entrepreneurs in the targeted cities. </t>
  </si>
  <si>
    <r>
      <rPr>
        <b/>
        <sz val="10"/>
        <color theme="1"/>
        <rFont val="Arial Nova"/>
        <family val="2"/>
      </rPr>
      <t xml:space="preserve">Capacity Building MSMEs and Direct lending: </t>
    </r>
    <r>
      <rPr>
        <sz val="10"/>
        <color theme="1"/>
        <rFont val="Arial Nova"/>
        <family val="2"/>
      </rPr>
      <t>The Women Entrepreneurship Development Project (WEDP) line of credit is currently disbursing roughly $3 million in loan and training roughly 600 entrepreneurs every month.</t>
    </r>
  </si>
  <si>
    <t>As of March 2019, more than 12,000 women entrepreneurs took loans and over 16,000 particpated in the business training</t>
  </si>
  <si>
    <t xml:space="preserve">Impact evaluation data shows that over 3 years, firms that participate in WEDP have grown incomes by 40.77% relative to a control group (compared to a 5 year target of 50%) and grown employment in their firms by 55.73% (compared to a 5 year target of 30%) </t>
  </si>
  <si>
    <t>https://www.worldbank.org/en/results/2016/07/21/financing-women-entrepreneurs-in-ethiopia-the-women-entrepreneurship-development-project-wedp</t>
  </si>
  <si>
    <t>Gabon Investment Promotion &amp; Competitiveness Project</t>
  </si>
  <si>
    <t>Ministry of Economy (Funde by IBRD)</t>
  </si>
  <si>
    <t>Ministry of Investment Promotion and PPPs</t>
  </si>
  <si>
    <t>to contribute to the improvement of the investment
climate and to foster enterprise development in Gabon</t>
  </si>
  <si>
    <r>
      <rPr>
        <b/>
        <sz val="10"/>
        <color theme="1"/>
        <rFont val="Arial Nova"/>
        <family val="2"/>
      </rPr>
      <t xml:space="preserve">Early-stage finance: </t>
    </r>
    <r>
      <rPr>
        <sz val="10"/>
        <color theme="1"/>
        <rFont val="Arial Nova"/>
        <family val="2"/>
      </rPr>
      <t>Funds were also allocated to support SME's through business plan competitions to assist aspiring entrepreneurs to develop business ideas, launch new businesses, introduce new products and services, acquire technical assistance and business advisory services, obtain seed capital, and tap financing from commercial lenders.</t>
    </r>
  </si>
  <si>
    <t>Number of businesses registered after the reform (20000)
Number of investors showing an interest in Gabon (60)
Reduction in average time (days) to register a business (40)
Number of women trained through the business plan competition (25)
Amount of financing made available to SMEs through the business plan competition (1502000)
Number of direct jobs created as a result of the business plan competition (40)
Number of reforms implemented (4)
Number of people trained through the business plan competition (130)</t>
  </si>
  <si>
    <t>Number of businesses registered after the reform (22503)
Number of women trained through the business plan competition (67)
Amount of financing made available to SMEs through the business plan competition (892986508)
Number of people trained through the business plan competition (280)</t>
  </si>
  <si>
    <t>Number of direct jobs created as a result of the business plan competition (149)
Number of reforms implemented (27)
Number of investors showing an interest in Gabon (87)
Reduction in average time (days) to register a business (31)</t>
  </si>
  <si>
    <t>https://projects.worldbank.org/en/projects-operations/project-detail/P129267
http://documents1.worldbank.org/curated/en/450351593207424685/pdf/Gabon-GA-Investment-Promotion-and-Competitiv.pdf</t>
  </si>
  <si>
    <t>SME startup support</t>
  </si>
  <si>
    <t xml:space="preserve">National Agency for the Promotion of Investments in Gabon (ANPI-Gabon) </t>
  </si>
  <si>
    <t>Cofina</t>
  </si>
  <si>
    <t>Enabling infrastructure, Early-stage finance</t>
  </si>
  <si>
    <t>* To improve the competitiveness of SME's and the establishment of an institutional support mechanism for the private sector.</t>
  </si>
  <si>
    <r>
      <t xml:space="preserve">
</t>
    </r>
    <r>
      <rPr>
        <b/>
        <sz val="10"/>
        <color theme="1"/>
        <rFont val="Arial Nova"/>
        <family val="2"/>
      </rPr>
      <t xml:space="preserve">Capacity building MSMEs: </t>
    </r>
    <r>
      <rPr>
        <sz val="10"/>
        <color theme="1"/>
        <rFont val="Arial Nova"/>
        <family val="2"/>
      </rPr>
      <t xml:space="preserve">Providing technical support to SME's and providing them with expertise in business sectors and a capacity to generate flows.
</t>
    </r>
    <r>
      <rPr>
        <b/>
        <sz val="10"/>
        <color theme="1"/>
        <rFont val="Arial Nova"/>
        <family val="2"/>
      </rPr>
      <t xml:space="preserve">Early-stage financing: </t>
    </r>
    <r>
      <rPr>
        <sz val="10"/>
        <color theme="1"/>
        <rFont val="Arial Nova"/>
        <family val="2"/>
      </rPr>
      <t>The fund is aimed at supporting Start-ups for their first 3 years. The total funds that will be used totals USD 900,000.</t>
    </r>
  </si>
  <si>
    <t>https://afrikanheroes.com/2020/09/04/gabon-launches-a-new-900k-to-support-startups-and-small-businesses/</t>
  </si>
  <si>
    <t>Government financial support measures for the private sector</t>
  </si>
  <si>
    <t>No specific expiry date</t>
  </si>
  <si>
    <t>Development Bank of Central African States (BDEAC)</t>
  </si>
  <si>
    <t>Cofina Gabon</t>
  </si>
  <si>
    <t>* To facilitate access to commercial banks financing for private (formal and informal) companies, including SMEs.</t>
  </si>
  <si>
    <r>
      <rPr>
        <b/>
        <sz val="10"/>
        <color theme="1"/>
        <rFont val="Arial Nova"/>
        <family val="2"/>
      </rPr>
      <t xml:space="preserve">Grants and subsidies: </t>
    </r>
    <r>
      <rPr>
        <sz val="10"/>
        <color theme="1"/>
        <rFont val="Arial Nova"/>
        <family val="2"/>
      </rPr>
      <t xml:space="preserve">Government to support SMEs through invoking subsidised loans at a maximum rate of 5.5%.
</t>
    </r>
    <r>
      <rPr>
        <b/>
        <sz val="10"/>
        <color theme="1"/>
        <rFont val="Arial Nova"/>
        <family val="2"/>
      </rPr>
      <t xml:space="preserve">Deferral/restructuring of payments </t>
    </r>
    <r>
      <rPr>
        <sz val="10"/>
        <color theme="1"/>
        <rFont val="Arial Nova"/>
        <family val="2"/>
      </rPr>
      <t>Government allocating an additional FCFA 108 billion to tax holidays and deferred repayments from which SME's can benefit.</t>
    </r>
  </si>
  <si>
    <t>https://www.mfw4a.org/news/africa-financial-sector-responses-covid-19-gabon
https://home.kpmg/xx/en/home/insights/2020/04/gabon-government-and-institution-measures-in-response-to-covid.html</t>
  </si>
  <si>
    <t>Credit line support to SME's</t>
  </si>
  <si>
    <t>June 2020</t>
  </si>
  <si>
    <t>Government of Gabon</t>
  </si>
  <si>
    <t>* To support these SMEs in the development of their activities.</t>
  </si>
  <si>
    <r>
      <rPr>
        <b/>
        <sz val="10"/>
        <color theme="1"/>
        <rFont val="Arial Nova"/>
        <family val="2"/>
      </rPr>
      <t xml:space="preserve">Direct lending: </t>
    </r>
    <r>
      <rPr>
        <sz val="10"/>
        <color theme="1"/>
        <rFont val="Arial Nova"/>
        <family val="2"/>
      </rPr>
      <t>Supporting SME's through providing financing for equipment purchases.</t>
    </r>
  </si>
  <si>
    <t>https://www.mfw4a.org/news/africa-financial-sector-responses-covid-19-gabon
https://gabonactu.com/blog/2020/06/18/cofina-gabon-leve-4-milliards-de-fcfa-au-pres-de-la-bdeac-en-faveur-des-pme-gabonaises/</t>
  </si>
  <si>
    <t>Ghana Industrial Policy</t>
  </si>
  <si>
    <t>Capacity building MSMEs, Credit information system, Regulatory environment, Stock market development</t>
  </si>
  <si>
    <t>* To lower the cost of credit to industry
* To increase listing of manufacturing companies on the Ghana Stock Exchange (GSE).
* To improve the availability of medium and long term funds for financingmanufacturing projects.</t>
  </si>
  <si>
    <r>
      <t xml:space="preserve">
</t>
    </r>
    <r>
      <rPr>
        <b/>
        <sz val="10"/>
        <color theme="1"/>
        <rFont val="Arial Nova"/>
        <family val="2"/>
      </rPr>
      <t>Credit information system</t>
    </r>
    <r>
      <rPr>
        <sz val="10"/>
        <color theme="1"/>
        <rFont val="Arial Nova"/>
        <family val="2"/>
      </rPr>
      <t xml:space="preserve">: Strengthening credit reference bureaux.
</t>
    </r>
    <r>
      <rPr>
        <b/>
        <sz val="10"/>
        <color theme="1"/>
        <rFont val="Arial Nova"/>
        <family val="2"/>
      </rPr>
      <t>Credit gurantee</t>
    </r>
    <r>
      <rPr>
        <sz val="10"/>
        <color theme="1"/>
        <rFont val="Arial Nova"/>
        <family val="2"/>
      </rPr>
      <t xml:space="preserve">: Expanding credit guarantee schemes.
</t>
    </r>
    <r>
      <rPr>
        <b/>
        <sz val="10"/>
        <color theme="1"/>
        <rFont val="Arial Nova"/>
        <family val="2"/>
      </rPr>
      <t>Regulatory environmen</t>
    </r>
    <r>
      <rPr>
        <sz val="10"/>
        <color theme="1"/>
        <rFont val="Arial Nova"/>
        <family val="2"/>
      </rPr>
      <t xml:space="preserve">t: Strengthening commercial courts and contract enforcement; government will support the removal of Secondary Reserve Requirements of Banks to ensure adequacy of funds for lending to SMEs.
</t>
    </r>
    <r>
      <rPr>
        <b/>
        <sz val="10"/>
        <color theme="1"/>
        <rFont val="Arial Nova"/>
        <family val="2"/>
      </rPr>
      <t>Capacity building financial institutions</t>
    </r>
    <r>
      <rPr>
        <sz val="10"/>
        <color theme="1"/>
        <rFont val="Arial Nova"/>
        <family val="2"/>
      </rPr>
      <t xml:space="preserve">: Promoting capacity building for SME lending.
</t>
    </r>
    <r>
      <rPr>
        <b/>
        <sz val="10"/>
        <color theme="1"/>
        <rFont val="Arial Nova"/>
        <family val="2"/>
      </rPr>
      <t>Capacity building SMEs</t>
    </r>
    <r>
      <rPr>
        <sz val="10"/>
        <color theme="1"/>
        <rFont val="Arial Nova"/>
        <family val="2"/>
      </rPr>
      <t xml:space="preserve">: Promoting BDS for SMEs.
</t>
    </r>
    <r>
      <rPr>
        <b/>
        <sz val="10"/>
        <color theme="1"/>
        <rFont val="Arial Nova"/>
        <family val="2"/>
      </rPr>
      <t>Stock market development:
*</t>
    </r>
    <r>
      <rPr>
        <sz val="10"/>
        <color theme="1"/>
        <rFont val="Arial Nova"/>
        <family val="2"/>
      </rPr>
      <t xml:space="preserve"> Government will encourage GSE (Ghana Stock Exchange) to reduce the cost of listing on the exchange Government will create awareness particularly among SMEs of requirements as well as the benefits that accrue to listed companies.
* Government will provide incentives to SMEs engaged in manufacturing which list on
the GSE.
</t>
    </r>
    <r>
      <rPr>
        <b/>
        <sz val="10"/>
        <color theme="1"/>
        <rFont val="Arial Nova"/>
        <family val="2"/>
      </rPr>
      <t>Direct lending</t>
    </r>
    <r>
      <rPr>
        <sz val="10"/>
        <color theme="1"/>
        <rFont val="Arial Nova"/>
        <family val="2"/>
      </rPr>
      <t>: Government will streamline existing public-funded financing schemes to enable SMEs access them.</t>
    </r>
  </si>
  <si>
    <t>Industrial Development Directorate - Small and Medium Enterprises Division (sub-intervention not included here)</t>
  </si>
  <si>
    <t>http://moti.gov.gh/docs/Industrial%20Policy.pdf; http://moti.gov.gh/div_industry.php</t>
  </si>
  <si>
    <t>National Board of Small-scale Industries</t>
  </si>
  <si>
    <t>Women, Youth, People with disabilities</t>
  </si>
  <si>
    <t>* To contribute to the creation of an enabling environment for the small-scale enterprise development.
* To contribute to the development of an enterprise culture in Ghana by facilitating access to credit.
* Facilitate MSEs access to substantial and high quality Business Development Services for their development.</t>
  </si>
  <si>
    <r>
      <rPr>
        <b/>
        <sz val="10"/>
        <color theme="1"/>
        <rFont val="Arial Nova"/>
        <family val="2"/>
      </rPr>
      <t xml:space="preserve">Capacity building MSMEs:
* </t>
    </r>
    <r>
      <rPr>
        <sz val="10"/>
        <color theme="1"/>
        <rFont val="Arial Nova"/>
        <family val="2"/>
      </rPr>
      <t>The National Board for Small Scale Industries's mission is to improve the competitiveness of micro, small and medium enterprises by facilitating the provision of business development programs and integrated support services.
* NBSSI provides a wide range of low-cost funding options as well as expert advice on how to manage the financial resources SMEs already have. NBSSI also offers business development services where SMEs learn to design business plans that can turn ideas into a thriving business.</t>
    </r>
    <r>
      <rPr>
        <b/>
        <sz val="10"/>
        <color theme="1"/>
        <rFont val="Arial Nova"/>
        <family val="2"/>
      </rPr>
      <t xml:space="preserve">
Regulatory environment:
</t>
    </r>
    <r>
      <rPr>
        <sz val="10"/>
        <color theme="1"/>
        <rFont val="Arial Nova"/>
        <family val="2"/>
      </rPr>
      <t xml:space="preserve">* In order to create a single dynamic integrated organization adequately capitalized and capable of responding to the needs of the small-scale enterprises sector, the Government merged the Ghanaian Enterprises Development Commission (GEDC) in 1991 and the Cottage Industries Division of the Department of Rural Housing and Cottage Industries in 1994 with the Board. </t>
    </r>
  </si>
  <si>
    <t>Act of the Parliament of the Third Republic of Ghana (Act 434 of 1981)</t>
  </si>
  <si>
    <t>*Training 65,000 youth (62
percent women) through
innovation hubs and
apprenticeship programs
• Linking businesses to funding
(USD13 million worth), and
international export markets.
• Establishment of over 13,000
new businesses
• Approximately GHC45 million
disbursed as loans
• Provision of business
acceleration services to 254
SMEs through KAIZEN</t>
  </si>
  <si>
    <t>Evaluation survey suggests that services offered do not meet expectations of MSMEs</t>
  </si>
  <si>
    <r>
      <t>https://nbssi.gov.gh/; https://investinafrica.com/uploads/covid-resources/NBSSI_%20CAP%20Business%20Support%20Scheme%20Presentation%2015-05-2020.pdf; https://www.researchgate.net/profile/Moses_Ahomka_</t>
    </r>
    <r>
      <rPr>
        <i/>
        <u/>
        <sz val="10"/>
        <color theme="10"/>
        <rFont val="Arial Nova"/>
        <family val="2"/>
      </rPr>
      <t>Yeboah2</t>
    </r>
    <r>
      <rPr>
        <u/>
        <sz val="10"/>
        <color theme="10"/>
        <rFont val="Arial Nova"/>
        <family val="2"/>
      </rPr>
      <t>/publication/301221371_Examining_Micro_And_Small_Enterprises_Expectations_Of_Services_Rendered_By_The_National_Board_For_Small_Scale_Industries_In_The_Cape_Coast_Metropolis/links/570d319508ae3199889bbaa3/Examining-Micro-And-Small-Enterprises-Expectations-Of-Services-Rendered-By-The-National-Board-For-Small-Scale-Industries-In-The-Cape-Coast-Metropolis.pdf</t>
    </r>
  </si>
  <si>
    <t>Coronavirus Alleviation Programme Business Support Scheme</t>
  </si>
  <si>
    <t>3 months</t>
  </si>
  <si>
    <t>Government of Ghana</t>
  </si>
  <si>
    <t>Micro enterprises, Adversely affected businesses by the COVID-19 crisis</t>
  </si>
  <si>
    <t>Agriculture, Health care, Manufacturing, Services, Tourism, Trade</t>
  </si>
  <si>
    <t>* Protect households and livelihoods, support micro, small, and medium-scale businesses, minimise job losses, and source additional funding for promotion of industries to shore up and expand industrial output for domestic consumption and exports.</t>
  </si>
  <si>
    <r>
      <t>Direct lending:</t>
    </r>
    <r>
      <rPr>
        <sz val="10"/>
        <color theme="1"/>
        <rFont val="Arial Nova"/>
        <family val="2"/>
      </rPr>
      <t xml:space="preserve"> Interest rate:</t>
    </r>
    <r>
      <rPr>
        <b/>
        <sz val="10"/>
        <color theme="1"/>
        <rFont val="Arial Nova"/>
        <family val="2"/>
      </rPr>
      <t xml:space="preserve"> </t>
    </r>
    <r>
      <rPr>
        <sz val="10"/>
        <color theme="1"/>
        <rFont val="Arial Nova"/>
        <family val="2"/>
      </rPr>
      <t>5%, repayment period: 2-3 years; loan application channels: physical application form, mobile (USSD), online website, GHS 1 bn program.</t>
    </r>
  </si>
  <si>
    <t>Micro: 1-5 employees
Small: 6-29 employees
Medium: 30-99 employees</t>
  </si>
  <si>
    <t>120,000 out of 715,795 applicants have so far received financial support</t>
  </si>
  <si>
    <t>https://investinafrica.com/uploads/covid-resources/NBSSI_%20CAP%20Business%20Support%20Scheme%20Presentation%2015-05-2020.pdf; https://africabusinesscommunities.com/news/ghana-president-akufo-addo-launches-gh1-billion-cap-business-support-scheme/</t>
  </si>
  <si>
    <t>National Financial Inclusion
and Development Strategy</t>
  </si>
  <si>
    <t>Bank of Ghana, Ministry of Finance, Ministry of Justice, Ministry of Trade and Industry</t>
  </si>
  <si>
    <t xml:space="preserve">Enabling infrastructure </t>
  </si>
  <si>
    <t>Capacity building MSMEs, Collateral registry, Payment system infrastructure, Regulatory environment</t>
  </si>
  <si>
    <t>* Support innovation and efficient delivery of financial services and increase information on borrowers and MSMEs.
* Increase Capability, Awareness, and Use of Financial Products and Services.</t>
  </si>
  <si>
    <r>
      <rPr>
        <b/>
        <sz val="10"/>
        <color theme="1"/>
        <rFont val="Arial Nova"/>
        <family val="2"/>
      </rPr>
      <t xml:space="preserve">Credit information system: </t>
    </r>
    <r>
      <rPr>
        <sz val="10"/>
        <color theme="1"/>
        <rFont val="Arial Nova"/>
        <family val="2"/>
      </rPr>
      <t xml:space="preserve">Increasing the availability of information on borrowers.
</t>
    </r>
    <r>
      <rPr>
        <b/>
        <sz val="10"/>
        <color theme="1"/>
        <rFont val="Arial Nova"/>
        <family val="2"/>
      </rPr>
      <t xml:space="preserve">Regulatory environment: </t>
    </r>
    <r>
      <rPr>
        <sz val="10"/>
        <color theme="1"/>
        <rFont val="Arial Nova"/>
        <family val="2"/>
      </rPr>
      <t xml:space="preserve">Strengthening the insolvency regime.
</t>
    </r>
    <r>
      <rPr>
        <b/>
        <sz val="10"/>
        <color theme="1"/>
        <rFont val="Arial Nova"/>
        <family val="2"/>
      </rPr>
      <t>Capacity building MSMEs:</t>
    </r>
    <r>
      <rPr>
        <sz val="10"/>
        <color theme="1"/>
        <rFont val="Arial Nova"/>
        <family val="2"/>
      </rPr>
      <t xml:space="preserve">
* Improve coordination of financial capability programs, including by building the capacity of the Ministry of Finance to monitor and evaluate programs.
* Review existing financial capability and education initiatives, and develop a comprehensive financial capability and education strategy with a costed action plan.
* Design and implement a national financial capability campaign that targets excluded groups (rural residents, farmers, youth, poor, women, and so on) using major channels and local languages and prioritizing key products and services (such as microinsurance, Tier 3 pension schemes, mobile money, and consumer protection).
* Introduce financial capability and education curriculum in schools.
</t>
    </r>
    <r>
      <rPr>
        <b/>
        <sz val="10"/>
        <color theme="1"/>
        <rFont val="Arial Nova"/>
        <family val="2"/>
      </rPr>
      <t xml:space="preserve">Collateral registry: </t>
    </r>
    <r>
      <rPr>
        <sz val="10"/>
        <color theme="1"/>
        <rFont val="Arial Nova"/>
        <family val="2"/>
      </rPr>
      <t xml:space="preserve">Strengthening the secured transactions and collateral frameworks.
</t>
    </r>
    <r>
      <rPr>
        <b/>
        <sz val="10"/>
        <color theme="1"/>
        <rFont val="Arial Nova"/>
        <family val="2"/>
      </rPr>
      <t>Payment system infrastructure:</t>
    </r>
    <r>
      <rPr>
        <sz val="10"/>
        <color theme="1"/>
        <rFont val="Arial Nova"/>
        <family val="2"/>
      </rPr>
      <t xml:space="preserve"> Strengthening payment systems oversight; bolstering the payment systems platforms and services.</t>
    </r>
  </si>
  <si>
    <t>*SMEs listed in GAX (capital markets) - target: 15 by 2023
*Schools adopting financial capacity curriculum - target: 100 by 2023
*Individuals reached by new financial capability campaign - target: 50,000 by 2023
*Range of mobile money and E-zwich card targets (e.g., 230,000 active mobile money agents by 2023, 17 mn active mobile money accoutny by 2023)</t>
  </si>
  <si>
    <t>http://www.mofep.gov.gh/sites/default/files/acts/NFIDs_Report.pdf</t>
  </si>
  <si>
    <t>Nkuosu Program</t>
  </si>
  <si>
    <t>October 2020 (closure of applications)</t>
  </si>
  <si>
    <t>National Board of Small Scale Industries, Mastercard Foundation</t>
  </si>
  <si>
    <t>Youth, Start ups, Women</t>
  </si>
  <si>
    <t>Agriculture, Digital economy, Manufacturing</t>
  </si>
  <si>
    <t>Commercial banks, FinTechs, NGOs, Training institutions</t>
  </si>
  <si>
    <t>* To provide financial and business advisory support to MSMEs and start-ups weather the economic downturn caused by the COVID-19 pandemic.</t>
  </si>
  <si>
    <r>
      <rPr>
        <b/>
        <sz val="10"/>
        <color theme="1"/>
        <rFont val="Arial Nova"/>
        <family val="2"/>
      </rPr>
      <t xml:space="preserve">Direct lending:
* </t>
    </r>
    <r>
      <rPr>
        <sz val="10"/>
        <color theme="1"/>
        <rFont val="Arial Nova"/>
        <family val="2"/>
      </rPr>
      <t>The Nkosuo program will have a one-year moratorium and a two-year repayment period and will focus on supporting MSMEs and start-ups in sectors such as Agriculture and Agro-businesses, Water and Sanitation, Healthcare and Pharmaceuticals, Garment and Personal Protective Equipment, the Creative Arts Industry, Manufacturing, Food and Beverage among others. 
* Dubbed the Nkosuo program, with an initial commitment of GHC90 million from the Mastercard Foundation, it will provide financial assistance, in the form of loans, via participating institutions, including banks, fintechs, mobile lenders, NGOs, and Business Development Services.</t>
    </r>
  </si>
  <si>
    <t>Lower micro: 1-5 employees, annual revenue: GHS 0-20,000
Upper micro: 1-5 employees, annual revenue: GHS 20,001-135,000
Lower small: 6-16 employees, annual revenue: GHS 135,000 - 1,500,000
Upper small: 17-29 employees, annual revenue: GHS 1,500,001 -3,000,000
Medium: 30-99 employees, annual revenue: GHS 3,000,001-5,000,000
Start-Ups: years 0-2, annual revenue: GHS: 0-500,000
All Ghanaian-owned businesses, registered or unregistered are eligible to apply for funding but they will need a TIN.</t>
  </si>
  <si>
    <t>https://ghrecoveryprogram.com/faqs; https://allafrica.com/stories/202009170838.html</t>
  </si>
  <si>
    <t>Capacity Development &amp; Utilization Program</t>
  </si>
  <si>
    <t>Government of Ghana, UNDP-Ghana, EMPRETEC Ghana Foundation</t>
  </si>
  <si>
    <t>Tourism, Manufacturing, Construction, trade</t>
  </si>
  <si>
    <t>* The objective of the fund was to make available credit to MSMEs in different sectors to expand their businesses.</t>
  </si>
  <si>
    <t>Provided USD 700,000 (then equivalent of GH¢114,000) to be used in setting up a revolving fund out of which credit would be made available to micro, small, and medium enterprises in Tourism, Manufacturing, Construction, and Non-Traditional export sectors, in order to expand their businesses. No information on whether this fund was setup.</t>
  </si>
  <si>
    <t>https://www.enterprise-development.org/wp-content/uploads/ScalingUp_SME_Access_to_Financial_Services.pdf</t>
  </si>
  <si>
    <t>MSME Development Project</t>
  </si>
  <si>
    <t>28 June 2013</t>
  </si>
  <si>
    <t>31 December 2017</t>
  </si>
  <si>
    <t>Ministry of Industry, SME and Private sector promotion</t>
  </si>
  <si>
    <t>Ministry of Industry, SME and Private sector Promotion</t>
  </si>
  <si>
    <t xml:space="preserve">Commercial banks </t>
  </si>
  <si>
    <t>The objective of the MSME Development Project for Guinea is to support the development of MSMEs in various value chains and to improve selected processes of Guinea's investment climate. The project was made up of 3 components. 
1) The establishment of support centers for SME development.
2) Providing support to investment. 
3) Project implementation and monitoring and evaluation.</t>
  </si>
  <si>
    <r>
      <rPr>
        <b/>
        <sz val="10"/>
        <color theme="1"/>
        <rFont val="Arial Nova"/>
        <family val="2"/>
      </rPr>
      <t xml:space="preserve">Capacity building MSMEs: </t>
    </r>
    <r>
      <rPr>
        <sz val="10"/>
        <color theme="1"/>
        <rFont val="Arial Nova"/>
        <family val="2"/>
      </rPr>
      <t>The aim of component 1 is to promote diversification and private sector growth through direct investment in skills development of SMEs.</t>
    </r>
  </si>
  <si>
    <t>Number of targeted firms to benefit from support centers were 200. The percentage share of women owned or run businesses as a share of firms to benefit from support center support are 40%.</t>
  </si>
  <si>
    <t>Number of firms that benefitted from SCs by completion of project were 460. The percentage of women owned or run businesses as a share of benefitting firms from support centers were 40%.</t>
  </si>
  <si>
    <t>https://projects.worldbank.org/en/projects-operations/project-detail/P128443?lang=en&amp;tab=map</t>
  </si>
  <si>
    <t>Fonds de Développement Industriel et des PMEs</t>
  </si>
  <si>
    <t>* The objective of the fund is to mobilise and use resources from different origins, in order to promote the industrial development of the country, by supporting the financing needs of industrial companies and small and medium-sized companies</t>
  </si>
  <si>
    <r>
      <rPr>
        <b/>
        <sz val="10"/>
        <color theme="1"/>
        <rFont val="Arial Nova"/>
        <family val="2"/>
      </rPr>
      <t>Capacity building MSMEs:</t>
    </r>
    <r>
      <rPr>
        <sz val="10"/>
        <color theme="1"/>
        <rFont val="Arial Nova"/>
        <family val="2"/>
      </rPr>
      <t xml:space="preserve"> The fund will also provide support for innovation and technology transfer.
</t>
    </r>
    <r>
      <rPr>
        <b/>
        <sz val="10"/>
        <color theme="1"/>
        <rFont val="Arial Nova"/>
        <family val="2"/>
      </rPr>
      <t xml:space="preserve">Grants and subsidies: </t>
    </r>
    <r>
      <rPr>
        <sz val="10"/>
        <color theme="1"/>
        <rFont val="Arial Nova"/>
        <family val="2"/>
      </rPr>
      <t xml:space="preserve">The fund will be responsible for financing the industrial fabric and SMEs, in particular the development of industrial zones. </t>
    </r>
  </si>
  <si>
    <t>https://www.linkedin.com/company/fodipgn/</t>
  </si>
  <si>
    <t>A Fundação Guineense para o Desenvolvimento Empresarial Industrial (Fundei)</t>
  </si>
  <si>
    <t>Government</t>
  </si>
  <si>
    <t>* The Guinean Foundation for Industrial Business Development (Fundei) is a private institution of public benefit and has as its main objective the promotion of micro, small and medium industrial companies, in the following areas of activity: initiative and financing of investment projects; support for the dissemination of technologies appropriate and adapted to Guinea-Bissau's industrial development and training and technical assistance.</t>
  </si>
  <si>
    <r>
      <rPr>
        <b/>
        <sz val="10"/>
        <color theme="1"/>
        <rFont val="Arial Nova"/>
        <family val="2"/>
      </rPr>
      <t xml:space="preserve">Capacity building MSMEs:
</t>
    </r>
    <r>
      <rPr>
        <sz val="10"/>
        <color theme="1"/>
        <rFont val="Arial Nova"/>
        <family val="2"/>
      </rPr>
      <t xml:space="preserve">* To promote training actions in favor of the business class, in particular, the promoters of investment projects, for the creation, expansion and modernization of micro, small and medium-sized companies.
* Promote counseling and support actions for entrepreneurs and promoters of business initiatives.
* Establish collaboration mechanisms with the professional training institutions existing in the country.
</t>
    </r>
    <r>
      <rPr>
        <b/>
        <sz val="10"/>
        <color theme="1"/>
        <rFont val="Arial Nova"/>
        <family val="2"/>
      </rPr>
      <t xml:space="preserve">Direct lending: </t>
    </r>
    <r>
      <rPr>
        <sz val="10"/>
        <color theme="1"/>
        <rFont val="Arial Nova"/>
        <family val="2"/>
      </rPr>
      <t>agreement governing access to a fund to finance projects for processing cashew nuts,</t>
    </r>
    <r>
      <rPr>
        <b/>
        <sz val="10"/>
        <color theme="1"/>
        <rFont val="Arial Nova"/>
        <family val="2"/>
      </rPr>
      <t xml:space="preserve"> </t>
    </r>
    <r>
      <rPr>
        <sz val="10"/>
        <color theme="1"/>
        <rFont val="Arial Nova"/>
        <family val="2"/>
      </rPr>
      <t>applicable interest rates will be in the 3 to 4 percent range, loan has an amortisation period of 12 months</t>
    </r>
    <r>
      <rPr>
        <b/>
        <sz val="10"/>
        <color theme="1"/>
        <rFont val="Arial Nova"/>
        <family val="2"/>
      </rPr>
      <t xml:space="preserve">
</t>
    </r>
  </si>
  <si>
    <t>Government order No 27b / 94</t>
  </si>
  <si>
    <t xml:space="preserve">http://www.fundei.net/index.php?option=com_content&amp;view=article&amp;id=50&amp;Itemid=54; https://macauhub.com.mo/2014/09/24/guinea-bissau-creates-fund-to-support-the-cashew-industry/ </t>
  </si>
  <si>
    <t>Credit Guarantee Scheme</t>
  </si>
  <si>
    <t>September 2020</t>
  </si>
  <si>
    <t>Starting mid-October 2020, next tranche will be in 2021/2022 financial year</t>
  </si>
  <si>
    <t>The Cabinet of the Republic of Kenya</t>
  </si>
  <si>
    <t>* To enhance MSMEs' access to credit, specifically during the COVID-19 pandemic.</t>
  </si>
  <si>
    <r>
      <rPr>
        <b/>
        <sz val="10"/>
        <color theme="1"/>
        <rFont val="Arial Nova"/>
        <family val="2"/>
      </rPr>
      <t xml:space="preserve">Credit guarantee: </t>
    </r>
    <r>
      <rPr>
        <sz val="10"/>
        <color theme="1"/>
        <rFont val="Arial Nova"/>
        <family val="2"/>
      </rPr>
      <t xml:space="preserve">The scheme will be capitalized in two tranches of Sh5 Billion each in 2020/2021 and the 2021/2022 financial years. The State's contributions are expected to be followed by contributions from Development Finance Institutions and participating commercial financial institutions. </t>
    </r>
  </si>
  <si>
    <t>https://khusoko.com/2020/09/11/kenya-cabinet-approves-establishment-of-credit-guarantee-scheme-with-ksh-10-billion-capital/; https://allafrica.com/stories/202009110093.html</t>
  </si>
  <si>
    <t>Access to Government Procurement Opportunities (AGPO) program</t>
  </si>
  <si>
    <t>16 October 2013</t>
  </si>
  <si>
    <t>The President</t>
  </si>
  <si>
    <t>"To facilitate the enterprises owned by women, youth and persons with disabilities to be able to participate in Government opportunities… the program is aimed at empowering them by giving them more opportunities to do business with Government."</t>
  </si>
  <si>
    <r>
      <rPr>
        <b/>
        <sz val="10"/>
        <color theme="1"/>
        <rFont val="Arial Nova"/>
        <family val="2"/>
      </rPr>
      <t xml:space="preserve">MSME procruement: </t>
    </r>
    <r>
      <rPr>
        <sz val="10"/>
        <color theme="1"/>
        <rFont val="Arial Nova"/>
        <family val="2"/>
      </rPr>
      <t>A procuring entity shall allocate at least thirty percent of its procurement spend for the purposes procuring goods, works and services from micro and small enterprises owned by youth, women and persons with disabilities.</t>
    </r>
  </si>
  <si>
    <t xml:space="preserve">https://agpo.go.ke/pages/about-agpo#:~:text=The%20Access%20to%20Government%20Procurement,and%20the%20Public%20Procurement%20and </t>
  </si>
  <si>
    <t>Youth Enterprise Development Fund</t>
  </si>
  <si>
    <t>8 December 2006</t>
  </si>
  <si>
    <t>Cabinet Secretary for the National Treasury and Planning</t>
  </si>
  <si>
    <t>Ministry of Public Service, Gender and Youth Affairs</t>
  </si>
  <si>
    <t>* To increase economic opportunities for, and participation by Kenyan youth in nation building through enterprise devel.opment and strategic partnerships</t>
  </si>
  <si>
    <r>
      <rPr>
        <b/>
        <sz val="10"/>
        <color theme="1"/>
        <rFont val="Arial Nova"/>
        <family val="2"/>
      </rPr>
      <t xml:space="preserve">Direct lending: </t>
    </r>
    <r>
      <rPr>
        <sz val="10"/>
        <color theme="1"/>
        <rFont val="Arial Nova"/>
        <family val="2"/>
      </rPr>
      <t>Provide loans to youth owned enterprises; provide market support to youth enterprises.</t>
    </r>
  </si>
  <si>
    <t>Government Financial Management (Youth Enterprise Development Fund) Regulations, 2007</t>
  </si>
  <si>
    <t xml:space="preserve">http://www.youthfund.go.ke/ ; https://www.treasury.go.ke/publications/regulations/category/71-pfm-regulations.html?download=1084:public-finance-management-youth-enterprise-development-fund-revocation-regulations-2020 </t>
  </si>
  <si>
    <t>Uwezo Fund</t>
  </si>
  <si>
    <t>Cabinet Secretary for the National Treasury</t>
  </si>
  <si>
    <t>Uwezo Fund Oversight Board</t>
  </si>
  <si>
    <t>* Established to address the socio-economic empowerment of women, youth and persons with disabilities through expansion of access to finance to facilitate initiation and expansion of their enterprises. Further, the Fund provides capacity enhancement towards building strong and sustainable enterprises across the constituencies.</t>
  </si>
  <si>
    <r>
      <rPr>
        <b/>
        <sz val="10"/>
        <color theme="1"/>
        <rFont val="Arial Nova"/>
        <family val="2"/>
      </rPr>
      <t xml:space="preserve">Direct lending:
</t>
    </r>
    <r>
      <rPr>
        <sz val="10"/>
        <color theme="1"/>
        <rFont val="Arial Nova"/>
        <family val="2"/>
      </rPr>
      <t>*Wezesha loan is a constituency-based loan intended to finance first time borrowers’ projects and enterprises. The loan amount ranges between Kshs. 50,000 to Kshs.100,000, The loan is repayable within a period of 12 months upon the expiry of a six months grace period
*Endeleza loan: This a loan product for repeat borrowers/ subsequent funding.  Subsequent funding is based on an incremental percentage of between 150 to 200% of the initial loan but not more Kshs 500,000, Repayment will be made in twelve (12), Eighteen (18) and twenty-four (24) equal instalments proportionate to the amounts lent.</t>
    </r>
    <r>
      <rPr>
        <b/>
        <sz val="10"/>
        <color theme="1"/>
        <rFont val="Arial Nova"/>
        <family val="2"/>
      </rPr>
      <t xml:space="preserve">
Capacity building MSMEs:  </t>
    </r>
    <r>
      <rPr>
        <sz val="10"/>
        <color theme="1"/>
        <rFont val="Arial Nova"/>
        <family val="2"/>
      </rPr>
      <t>The Fund will provide mandatory capacity building to all the beneficiaries as a pre-funding requirement. These trainings are carried out in the constituencies. he training curriculum content includes: General information of the Fund; Entrepreneurship development; Group dynamics; Table banking; Business development services</t>
    </r>
  </si>
  <si>
    <t xml:space="preserve">The Public Finance Management (Uwezo Fund) Regulations, 2014, Cabinet Secretary for the National Treasury </t>
  </si>
  <si>
    <t>MDG1 and 3</t>
  </si>
  <si>
    <t>66,616 groups funded</t>
  </si>
  <si>
    <t>*6,009,989,943 cumulative disbursement (KSHS)
*41,918 women groups
*22,786 youth groups
*1,911 persons with disabilities groups
*326,673 women
*680,950 men</t>
  </si>
  <si>
    <t>https://www.uwezo.go.ke/ ; https://www.treasury.go.ke/publications/regulations/category/71-pfm-regulations.html?download=1082:public-finance-management-uwezo-fund-revocation-regulations-2020</t>
  </si>
  <si>
    <t>Women Enterprise Fund</t>
  </si>
  <si>
    <t xml:space="preserve">Minister for Finance </t>
  </si>
  <si>
    <t>Ministry of Public Service, Youth &amp; Gender Affairs</t>
  </si>
  <si>
    <t xml:space="preserve">Direct lending, Enabling infrastructure, MSME procurement, Trade/supply chain finance </t>
  </si>
  <si>
    <t>Community group, MFIs, NGOs</t>
  </si>
  <si>
    <t>* To Offer Accessible and Affordable Financial and Innovative Business Support Services to Kenyan Women for Transformed Livelihoods through Resources Mobilization, Collaborations, and Partnerships.</t>
  </si>
  <si>
    <r>
      <rPr>
        <b/>
        <sz val="10"/>
        <color theme="1"/>
        <rFont val="Arial Nova"/>
        <family val="2"/>
      </rPr>
      <t>Direct lending: 
*</t>
    </r>
    <r>
      <rPr>
        <sz val="10"/>
        <color theme="1"/>
        <rFont val="Arial Nova"/>
        <family val="2"/>
      </rPr>
      <t xml:space="preserve">Tuinuke loan: given out through registered women groups interested in expanding or starting new businesses, CWES loan is interest-free, with only 5% administrative fee with a grace period of 1 month, loan amount and repayment period depend on the cycle - ranging from KES 100,000 up to 750,000 with a repayment period varying between 12 and 24 months
*Jimarishe loan: Since 2017, the Fund has successfully entered into partnership with 13 SACCOS and disbursed Kshs.81.5 Million to the SACCOS for on-lending purposes, thus actualizing the WEF Jiimarishe Loan. Through this loan, borrowers can access individual loans at a subsidized Interest rate of 8% reducing balance per annum
</t>
    </r>
    <r>
      <rPr>
        <b/>
        <sz val="10"/>
        <color theme="1"/>
        <rFont val="Arial Nova"/>
        <family val="2"/>
      </rPr>
      <t xml:space="preserve">MSME procurement: </t>
    </r>
    <r>
      <rPr>
        <sz val="10"/>
        <color theme="1"/>
        <rFont val="Arial Nova"/>
        <family val="2"/>
      </rPr>
      <t xml:space="preserve">The Fund has initiated the tender security/bid bond product to aid women in Kenya in achieving requirements of the tendering process. This is a product that is available to individual women who may own enterprises or women owned companies.
</t>
    </r>
    <r>
      <rPr>
        <b/>
        <sz val="10"/>
        <color theme="1"/>
        <rFont val="Arial Nova"/>
        <family val="2"/>
      </rPr>
      <t xml:space="preserve">Trade/supply chain finance: </t>
    </r>
    <r>
      <rPr>
        <sz val="10"/>
        <color theme="1"/>
        <rFont val="Arial Nova"/>
        <family val="2"/>
      </rPr>
      <t xml:space="preserve">Local Purchase Order financing: 
*This is a product tailored to serve women by increasing their capacity to respond and adequately service tenders thus meeting supply requirements. The loan will be available to individual women owning enterprises or women owned companies
*The maximum amount available for this loan is Kshs. 2 Million per individual borrowing
*Tenure of 90 days
</t>
    </r>
    <r>
      <rPr>
        <b/>
        <sz val="10"/>
        <color theme="1"/>
        <rFont val="Arial Nova"/>
        <family val="2"/>
      </rPr>
      <t xml:space="preserve">Capacity building MSMEs:
</t>
    </r>
    <r>
      <rPr>
        <sz val="10"/>
        <color theme="1"/>
        <rFont val="Arial Nova"/>
        <family val="2"/>
      </rPr>
      <t>* Support women oriented micro, small and medium enterprises to develop linkages with large enterprises.
* The Fund achieves capacity building of women entrepreneurs through the volunteerism concept. The volunteers are based at the constituency level and their roles include recruiting women, training them and monitoring their projects and loan repayments. The training curriculum covers various areas including:  Business skills;  Market Access; Basic ICT skills.</t>
    </r>
  </si>
  <si>
    <t xml:space="preserve">The Government Financial Management (Women Enterprise Fund) Regulations, 2007, Minister for Finance </t>
  </si>
  <si>
    <t>SDG 5</t>
  </si>
  <si>
    <t>Website provides success stories</t>
  </si>
  <si>
    <t>https://www.wef.co.ke/ ; https://www.treasury.go.ke/publications/regulations/category/71-pfm-regulations.html?download=1083:public-finance-management-women-enterprise-fund-revocation-regulations-2020-18-06-2020 ; Government Financial Management (Women Enterprise Fund) Regulations, 2007
https://www.issuelab.org/resources/34979/34979.pdf</t>
  </si>
  <si>
    <t>Biashara Kenya Fund</t>
  </si>
  <si>
    <t>Advisory Board &amp; Cabinet Secretary</t>
  </si>
  <si>
    <t>Direct lending, Enabling infrastructure, MSME procurement</t>
  </si>
  <si>
    <t>Capacity building MSMEs,  Constraint/landscape assessment</t>
  </si>
  <si>
    <t>Community groups, MFIs, NGOs</t>
  </si>
  <si>
    <t>To provide accessible and affordable credit to support women start and/or expand business for wealth and employment creation</t>
  </si>
  <si>
    <r>
      <rPr>
        <b/>
        <sz val="10"/>
        <color theme="1"/>
        <rFont val="Arial Nova"/>
        <family val="2"/>
      </rPr>
      <t>Direct lending:</t>
    </r>
    <r>
      <rPr>
        <sz val="10"/>
        <color theme="1"/>
        <rFont val="Arial Nova"/>
        <family val="2"/>
      </rPr>
      <t xml:space="preserve">
* Provide loans directly to women, youth and persons with disability enterprises or groups and micro, small and medium enterprises for entrepreneurship development
*Provide loans to credible commercial banks, micro-finance institutions, registered non-government organizations involved in financing, and savings and credit co-operative organizations for on-lending to women, youth and persons with disability, enterprises or groups and micro, small and medium enterprises
</t>
    </r>
    <r>
      <rPr>
        <b/>
        <sz val="10"/>
        <color theme="1"/>
        <rFont val="Arial Nova"/>
        <family val="2"/>
      </rPr>
      <t>Capacity building MSMEs:</t>
    </r>
    <r>
      <rPr>
        <sz val="10"/>
        <color theme="1"/>
        <rFont val="Arial Nova"/>
        <family val="2"/>
      </rPr>
      <t xml:space="preserve">
* Support capacity building of the beneficiaries of the Fund and their institutions through training, incubation, mentorship, start-up support and promotion of innovation and development of products.
*Support women, youth and persons with disability enterprises or groups and micro, small and medium enterprises to develop linkages with large enterprises.
</t>
    </r>
    <r>
      <rPr>
        <b/>
        <sz val="10"/>
        <color theme="1"/>
        <rFont val="Arial Nova"/>
        <family val="2"/>
      </rPr>
      <t>Constraint/landscape assessment:</t>
    </r>
    <r>
      <rPr>
        <sz val="10"/>
        <color theme="1"/>
        <rFont val="Arial Nova"/>
        <family val="2"/>
      </rPr>
      <t xml:space="preserve">
* Facilitate periodic market surveys and data analysis to identify industry opportunities for women, youth, persons with disability enterprises or groups and micro, small and medium enterprises.
</t>
    </r>
    <r>
      <rPr>
        <b/>
        <sz val="10"/>
        <color theme="1"/>
        <rFont val="Arial Nova"/>
        <family val="2"/>
      </rPr>
      <t>MSME procurement:</t>
    </r>
    <r>
      <rPr>
        <sz val="10"/>
        <color theme="1"/>
        <rFont val="Arial Nova"/>
        <family val="2"/>
      </rPr>
      <t xml:space="preserve">
* Promote, develop and facilitate access to government procurement opportunities by women, youth and persons with disability enterprises or groups and micro, small and medium enterprises.</t>
    </r>
  </si>
  <si>
    <t>Micro: 
i) Annual turnover does not exceed two million shillings
ii)  Less than ten employees
iii) Total assets and financial investments does not exceed ten million shillings
Small: 
i) Annual turnover ranges between two million and ten million shillings
ii) Between ten and fifty employees
iii) Total assets and financial investments is between ten million and fifty million shillings
Medium: 
i) Annual turnover ranges between ten million and one hundred million shillings
ii) Between fifty and two hundred and fifty employees
iii) Total assets and financial investments is between fifty million and two hundred and fifty million shilling;</t>
  </si>
  <si>
    <t>Public Finance Management (Biashara Kenya Fund) Regulations, 2020, Cabinet Secretary for the National Treasury and Planning</t>
  </si>
  <si>
    <t>https://www.treasury.go.ke/publications/regulations/category/71-pfm-regulations.html?download=1073:public-finance-management-biashara-kenya-fund-regulations-2020</t>
  </si>
  <si>
    <t>SME Linkages and Upgrading Program</t>
  </si>
  <si>
    <t>Ministry of Industry, Trade and Cooperatives with support from the World Bank Group</t>
  </si>
  <si>
    <t>* To increase innovation and productivity in select private sector firms in Kenya by strengthening the private sector (including startups, SMEs, incubators, accelerators, technology bootcamp providers, etc.) through financial grants and technical assistance.</t>
  </si>
  <si>
    <r>
      <rPr>
        <b/>
        <sz val="10"/>
        <color theme="1"/>
        <rFont val="Arial Nova"/>
        <family val="2"/>
      </rPr>
      <t xml:space="preserve">
Capacity building MSMEs: </t>
    </r>
    <r>
      <rPr>
        <sz val="10"/>
        <color theme="1"/>
        <rFont val="Arial Nova"/>
        <family val="2"/>
      </rPr>
      <t xml:space="preserve">The SME Linkages and Upgrading Program focuses on strengthening the managerial and technical capabilities within Kenyan SMEs, to enable them to better compete for local and international market opportunities. 
</t>
    </r>
    <r>
      <rPr>
        <b/>
        <sz val="10"/>
        <color theme="1"/>
        <rFont val="Arial Nova"/>
        <family val="2"/>
      </rPr>
      <t xml:space="preserve">Grants and subsidies: </t>
    </r>
    <r>
      <rPr>
        <sz val="10"/>
        <color theme="1"/>
        <rFont val="Arial Nova"/>
        <family val="2"/>
      </rPr>
      <t>The component will support SMEs in improving their use and access to technology, and encourage innovation and productivity improvements at a firm level through grants and business development support.</t>
    </r>
  </si>
  <si>
    <t>Micro, Small and Medium: Annual turnover falls between KSH 50 million and KSH 1 billion (US$0.5- US $10 million)</t>
  </si>
  <si>
    <t>http://www.kiep.go.ke/aboutkiep/</t>
  </si>
  <si>
    <t>Strengthening the Ecosystem’s Support Infrastructure</t>
  </si>
  <si>
    <t>To increase innovation and productivity in select private sector firms in Kenya by strengthening the private sector (including startups, SMEs, incubators, accelerators, technology bootcamp providers, etc.) through financial grants and technical assistance.</t>
  </si>
  <si>
    <r>
      <t xml:space="preserve">
</t>
    </r>
    <r>
      <rPr>
        <b/>
        <sz val="10"/>
        <color theme="1"/>
        <rFont val="Arial Nova"/>
        <family val="2"/>
      </rPr>
      <t xml:space="preserve">Early-stage finance:
* </t>
    </r>
    <r>
      <rPr>
        <sz val="10"/>
        <color theme="1"/>
        <rFont val="Arial Nova"/>
        <family val="2"/>
      </rPr>
      <t>Strengthening the support ecosystem (e.g. incubators, accelerators and rapid technology skills providers such as bootcamps) through financial grants based on individual improvement plans. Incubators and accelerators accross Kenya are eligible to apply. 
* KIEP is also funding technology bootcamp providers through subsidizing cost of tuition for students, and through grant funding for scaling.</t>
    </r>
  </si>
  <si>
    <t>Small and Medium: Annual turnover falls between KSH 50 million and KSH 1 billion (US$0.5- US $10 million)</t>
  </si>
  <si>
    <t>MbeleNaBiz Business Plan Competition</t>
  </si>
  <si>
    <t>Micro and Small Enterprises Authority (MSEA) and the Ministry of ICT, Innovation and Youth Affairs (MIIYA), with support from the World Bank. KPMG as the Competition Manager.</t>
  </si>
  <si>
    <t>* The MbeleNaBiz Business Plan Competition aims to expand new and existing youth-led enterprises by providing them with grant funding.</t>
  </si>
  <si>
    <r>
      <rPr>
        <b/>
        <sz val="10"/>
        <color theme="1"/>
        <rFont val="Arial Nova"/>
        <family val="2"/>
      </rPr>
      <t xml:space="preserve">Early-stage finance: </t>
    </r>
    <r>
      <rPr>
        <sz val="10"/>
        <color theme="1"/>
        <rFont val="Arial Nova"/>
        <family val="2"/>
      </rPr>
      <t xml:space="preserve">Start-up grants activity involves the provision of seed capital for youth start-ups to invest in tools, inputs and grow existing businesses.
</t>
    </r>
    <r>
      <rPr>
        <b/>
        <sz val="10"/>
        <color theme="1"/>
        <rFont val="Arial Nova"/>
        <family val="2"/>
      </rPr>
      <t>Capacity building MSMEs:</t>
    </r>
    <r>
      <rPr>
        <sz val="10"/>
        <color theme="1"/>
        <rFont val="Arial Nova"/>
        <family val="2"/>
      </rPr>
      <t xml:space="preserve">
* one-day orientation sessions with beneficiaries before disbursements of each tranche. These sessions will be used to develop simple business plans outlining the investments and expenditures to be financed by the grant.
* Business Development Services encompass a basic package of business and entrepreneurship training program as well as mentoring, specific consulting, and advisory services for marketing and technical issues. The youth will also receive Digital BDS where they will receive content through their mobile phones.</t>
    </r>
  </si>
  <si>
    <t>*750 Youth owned enterprises that will be financed through MbeleNaBiz.
*250 Youth owned enterprises will each receive Ksh. 3.6 million.
*500 Youth owned enterprises will be awarded Ksh. 900,000 each.</t>
  </si>
  <si>
    <t xml:space="preserve">http://mis.kyeop.go.ke/?page_id=6352 ; https://www.mbelenabiz.go.ke/index.php </t>
  </si>
  <si>
    <t>ENABLE Youth Kenya Program</t>
  </si>
  <si>
    <t>African Development Fund</t>
  </si>
  <si>
    <t>Ministry of Agriculture, Livestock and Fisheries</t>
  </si>
  <si>
    <t>Credit guarantee, Early-stage finance, Enabling infrastructure</t>
  </si>
  <si>
    <t>* The objective of the program is to create business opportunities and decent employment for young women and men along priority agricultural value chains in Kenya through the provision of entrepreneurship skills, funding and business linkages.</t>
  </si>
  <si>
    <r>
      <t xml:space="preserve">
</t>
    </r>
    <r>
      <rPr>
        <b/>
        <sz val="10"/>
        <color theme="1"/>
        <rFont val="Arial Nova"/>
        <family val="2"/>
      </rPr>
      <t xml:space="preserve">Capacity building MSMEs: </t>
    </r>
    <r>
      <rPr>
        <sz val="10"/>
        <color theme="1"/>
        <rFont val="Arial Nova"/>
        <family val="2"/>
      </rPr>
      <t xml:space="preserve">Program Management and Coordination: Program planning, implementation, supervision and monitoring activities.
</t>
    </r>
    <r>
      <rPr>
        <b/>
        <sz val="10"/>
        <color theme="1"/>
        <rFont val="Arial Nova"/>
        <family val="2"/>
      </rPr>
      <t>Credit guarantee:</t>
    </r>
    <r>
      <rPr>
        <sz val="10"/>
        <color theme="1"/>
        <rFont val="Arial Nova"/>
        <family val="2"/>
      </rPr>
      <t xml:space="preserve">
* USD 8 million will be reserved as risk guarantee fund intended for catalysing
additional resources through de-risking PFIs.
* $6 million will be committed in the form of low interest credit facilities to the graduates of the incubator and accelerator programs.</t>
    </r>
    <r>
      <rPr>
        <b/>
        <sz val="10"/>
        <color theme="1"/>
        <rFont val="Arial Nova"/>
        <family val="2"/>
      </rPr>
      <t xml:space="preserve">
Early-stage finance:
</t>
    </r>
    <r>
      <rPr>
        <sz val="10"/>
        <color theme="1"/>
        <rFont val="Arial Nova"/>
        <family val="2"/>
      </rPr>
      <t xml:space="preserve">* At least USD 14 million of the program resources will be allocated for financing early-stage agripreneur start-ups in the form of grant and repayable grants (5 million) and soft loans (9 million).
* $5 million will be committed in the form of grants and repayable grants ranging
from $5,000 to $15,000 to the graduates of the incubator and accelerator components of the program.
</t>
    </r>
    <r>
      <rPr>
        <b/>
        <sz val="10"/>
        <color theme="1"/>
        <rFont val="Arial Nova"/>
        <family val="2"/>
      </rPr>
      <t xml:space="preserve">* </t>
    </r>
    <r>
      <rPr>
        <sz val="10"/>
        <color theme="1"/>
        <rFont val="Arial Nova"/>
        <family val="2"/>
      </rPr>
      <t>Upgrading of Youth Agribusiness Incubation Centres (YABICs).
* Entrepreneurship and agribusiness incubation.
* Financing Youth Agribusinesses: Operationalizing risk sharing &amp; financing mechanism (RSFM).
* Agribusiness Incubation and Acceleration Activities.</t>
    </r>
    <r>
      <rPr>
        <b/>
        <sz val="10"/>
        <color theme="1"/>
        <rFont val="Arial Nova"/>
        <family val="2"/>
      </rPr>
      <t xml:space="preserve">
</t>
    </r>
  </si>
  <si>
    <t>Expected to train and empower 2,080 Agricultural Entrepreneurs (Agripreneurs), out of which 1,200 agribusinesses are expected to be generated. Each of the agribusinesses is expected to employ on average five other support workers, generating about 8, 000 direct jobs (including at least 4,000 for young women) in the first five years of the program.</t>
  </si>
  <si>
    <t>SDG 1, 2, 4, 8</t>
  </si>
  <si>
    <t xml:space="preserve">https://www.afdb.org/fileadmin/uploads/afdb/Documents/Project-and-Operations/KENYA_-_Enable_Youth_-_Approved.PDF ; https://www.afdb.org/fileadmin/uploads/afdb/Documents/Procurement/Project-related-Procurement/GPN_%E2%80%93_Kenya_-_Enable_Youth_Kenya_Program.pdf </t>
  </si>
  <si>
    <t>Financing Youth Agribusinesses</t>
  </si>
  <si>
    <t>Credit guarantee, Early-stage finance, Grants and subsidies</t>
  </si>
  <si>
    <t xml:space="preserve">* This component addresses the financial services enabling the agripreneurs business start-ups and the implementation of the financing and risk sharing mechanism. </t>
  </si>
  <si>
    <r>
      <rPr>
        <b/>
        <sz val="10"/>
        <color theme="1"/>
        <rFont val="Arial Nova"/>
        <family val="2"/>
      </rPr>
      <t xml:space="preserve">Credit guarantee:
* </t>
    </r>
    <r>
      <rPr>
        <sz val="10"/>
        <color theme="1"/>
        <rFont val="Arial Nova"/>
        <family val="2"/>
      </rPr>
      <t>USD 8 million will be reserved as risk guarantee fund intended for catalysing additional resources through de-risking PFIs. Moreover, agripreneurs will be able to access other existing GOK financing resources such as the Youth Enterprise Development Fund (YEDF), the Women Enterprise Fund (WEF) and UWEZO fund.</t>
    </r>
    <r>
      <rPr>
        <b/>
        <sz val="10"/>
        <color theme="1"/>
        <rFont val="Arial Nova"/>
        <family val="2"/>
      </rPr>
      <t xml:space="preserve">
Early-stage finance:</t>
    </r>
    <r>
      <rPr>
        <sz val="10"/>
        <color theme="1"/>
        <rFont val="Arial Nova"/>
        <family val="2"/>
      </rPr>
      <t xml:space="preserve">
* At least USD 14 million of the program resources will be allocated for financing early-stage agripreneur start-ups in the form of grant and repayable grants (5 million) and soft loans (9 million).</t>
    </r>
  </si>
  <si>
    <t>Inclusive Finance Strategy of Lesotho</t>
  </si>
  <si>
    <t>Government of Lesotho</t>
  </si>
  <si>
    <t>Ministry of Finance and Development Planning(MoFDP)</t>
  </si>
  <si>
    <t>Enabling infrastructure, Credit guarantee</t>
  </si>
  <si>
    <t>Capacity building financial institutions, Capacity building MSMEs, Incentives to financial institutions, Collateral registry, Payment system infrastructure, Regulatory environment</t>
  </si>
  <si>
    <t>Micro enterprises, Rural livelihoods, Women, Youth</t>
  </si>
  <si>
    <t>Agriculture, Financial sector, Informal sector, Manufacturing</t>
  </si>
  <si>
    <t>MFIs, Other financial institutions</t>
  </si>
  <si>
    <t>* Facilitate and expand the outreach of quality financial services by diverse providers and innovative products to meet the needs of MSME operators, smallholder farmers, and low-income people involved mainly in productive activities.
* Increase the financial and investment capacity of the private sector in urban and rural areas by linking with the formal financial sector.
* Create and capacitate sustainable inclusive finance providers such as deposit-taking MFI, financial cooperatives, and credit-only MFIs.
* Create an enabling policy and regulatory environment at macro level and support meso
level infrastructure.
* Educate society on financial services (knowledge barriers) and implement client protection interventions.</t>
  </si>
  <si>
    <r>
      <rPr>
        <b/>
        <sz val="10"/>
        <color theme="1"/>
        <rFont val="Arial Nova"/>
        <family val="2"/>
      </rPr>
      <t>Capacity building MSMEs:</t>
    </r>
    <r>
      <rPr>
        <sz val="10"/>
        <color theme="1"/>
        <rFont val="Arial Nova"/>
        <family val="2"/>
      </rPr>
      <t xml:space="preserve">
* Establishing the Lesotho Inclusive Finance Training and Research Institute.
* Capacity building activities focused at increasing the poor’s knowledge of financial concepts, skills and attitudes and to translate this knowledge into behaviors that results in good financial outcomes both for the finance providers and users of inclusive financial services.
*Assist in building the capacity and the market for technical service providers, who will offer specialized services in the field of training, consultancy, accountancy, auditing, management information system and Business Development Services (BDS).
</t>
    </r>
    <r>
      <rPr>
        <b/>
        <sz val="10"/>
        <color theme="1"/>
        <rFont val="Arial Nova"/>
        <family val="2"/>
      </rPr>
      <t xml:space="preserve">Capacity building financial institutions: </t>
    </r>
    <r>
      <rPr>
        <sz val="10"/>
        <color theme="1"/>
        <rFont val="Arial Nova"/>
        <family val="2"/>
      </rPr>
      <t xml:space="preserve">Building the financial, managerial and institutional capacity to increase the outreach of inclusive finance providers.
</t>
    </r>
    <r>
      <rPr>
        <b/>
        <sz val="10"/>
        <color theme="1"/>
        <rFont val="Arial Nova"/>
        <family val="2"/>
      </rPr>
      <t xml:space="preserve">Credit Guarantee: </t>
    </r>
    <r>
      <rPr>
        <sz val="10"/>
        <color theme="1"/>
        <rFont val="Arial Nova"/>
        <family val="2"/>
      </rPr>
      <t xml:space="preserve">Develop credit guarantee scheme and link with banks.
</t>
    </r>
    <r>
      <rPr>
        <b/>
        <sz val="10"/>
        <color theme="1"/>
        <rFont val="Arial Nova"/>
        <family val="2"/>
      </rPr>
      <t>Incentives to financial institutions:</t>
    </r>
    <r>
      <rPr>
        <sz val="10"/>
        <color theme="1"/>
        <rFont val="Arial Nova"/>
        <family val="2"/>
      </rPr>
      <t xml:space="preserve">
* Attract social investors and others as equity investors.
* Establish an innovative fund to encourage new products that meet the needs of the excluded.
</t>
    </r>
    <r>
      <rPr>
        <b/>
        <sz val="10"/>
        <color theme="1"/>
        <rFont val="Arial Nova"/>
        <family val="2"/>
      </rPr>
      <t>Collateral registry:</t>
    </r>
    <r>
      <rPr>
        <sz val="10"/>
        <color theme="1"/>
        <rFont val="Arial Nova"/>
        <family val="2"/>
      </rPr>
      <t xml:space="preserve">
* Designing a legal framework and registry to use moveable and non-movable properties as collateral will assist inclusive finance providers to deliver loans using individual lending methodology, without collateral.
</t>
    </r>
    <r>
      <rPr>
        <b/>
        <sz val="10"/>
        <color theme="1"/>
        <rFont val="Arial Nova"/>
        <family val="2"/>
      </rPr>
      <t xml:space="preserve">Payment system infrastructure:
</t>
    </r>
    <r>
      <rPr>
        <sz val="10"/>
        <color theme="1"/>
        <rFont val="Arial Nova"/>
        <family val="2"/>
      </rPr>
      <t xml:space="preserve">* Developing the infrastructure to take advantage of technological advances.
* Implementing efficient organization of the payment systems through inter-technology interoperability. 
* Promoting branchless banking (delivering financial services by mobile phones and pointof-sales terminals) to substantially reduce transportation and transaction costs.
</t>
    </r>
    <r>
      <rPr>
        <b/>
        <sz val="10"/>
        <color theme="1"/>
        <rFont val="Arial Nova"/>
        <family val="2"/>
      </rPr>
      <t xml:space="preserve">Regulatory environment: </t>
    </r>
    <r>
      <rPr>
        <sz val="10"/>
        <color theme="1"/>
        <rFont val="Arial Nova"/>
        <family val="2"/>
      </rPr>
      <t>Setting in place an appropriate regulatory and supervisory framework to ensure an effective oversight on the activities of inclusive finance providers, adoption of best practices and ensure the stability of the financial system.</t>
    </r>
  </si>
  <si>
    <t>(a) Provide loans to 500,771 Basotho by 2016/17
(b) Provide saving products to 492,425 Basotho by 2016/17
(c) Increase the loan portfolio of inclusive finance providers by 500 million Maloti
(d) Support the establishment of 3 deposit-taking MFIs (establish and transform two from within Lesotho and attract the establishment of one deposit-taking MFI from abroad
(such as FINCA, Opportunity International, etc)
(e) Support the establishment of 2 large financial cooperatives in rural and urban areas
(f) Support the establishment of 3 new credit-only MFIs and transformation of 5
moneylenders into credit-only financial institutions
(g) Increase the number of women clients in the sector to a level of 60%</t>
  </si>
  <si>
    <t>Financial Institutions Act of 1912</t>
  </si>
  <si>
    <t>https://www.centralbank.org.ls/images/Financial_Stability/Financial_Inclusion/Inclusive_Finance_strategy_Final_201.pdf</t>
  </si>
  <si>
    <t>National Strategic Development Plan</t>
  </si>
  <si>
    <t>Ministry of Development Planning</t>
  </si>
  <si>
    <t>Capacity building MSMEs, Payment system infrastructure, Other, Regulatory environment</t>
  </si>
  <si>
    <t>Agriculture, Financial sector, Informal sector, Manufacturing, Trade, Tourism, Mining</t>
  </si>
  <si>
    <t>* Improving resource allocation and cost efficiency to support growth that will result in increased revenue thereby opening up additional fiscal space. 
* Promoting fiscal consolidation by reducing deficits and adhering to debt sustainability targets (lower deficits/GDP and debt/GDP).
* Ensuring fiscal discipline, including adherence to hard budget ceilings and elimination of arrears.
* Improving tax/revenue administration, broadening the tax net and exploring ways of raising non-tax revenues as well as enhancing the capacity for mobilization of finance for development.
* Increasing absorptive capacity of Ministries to spend budget allocations efficiently.
* Sustaining the real value of capital expenditure and maintaining a stable ratio of capital to total spending.
* Containing the wage bill and increase public sector efficiency.
* Maintaining the Loti: Rand convertibility and/or building adequate international reserves.</t>
  </si>
  <si>
    <r>
      <rPr>
        <b/>
        <sz val="10"/>
        <color theme="1"/>
        <rFont val="Arial Nova"/>
        <family val="2"/>
      </rPr>
      <t xml:space="preserve">Capacity building MSMEs:
</t>
    </r>
    <r>
      <rPr>
        <sz val="10"/>
        <color theme="1"/>
        <rFont val="Arial Nova"/>
        <family val="2"/>
      </rPr>
      <t xml:space="preserve">* The Government will continue to build on successful policies to promote financial inclusion, deepen savings culture and enhance financial literacy. 
* Improve MSMEs entrepreneurship training, business counselling, mentorship and incubation programmes, and accredit business development service providers
* Strengthen entrepreneurship capacity of youth groups, cooperatives and private sector associations. 
</t>
    </r>
    <r>
      <rPr>
        <b/>
        <sz val="10"/>
        <color theme="1"/>
        <rFont val="Arial Nova"/>
        <family val="2"/>
      </rPr>
      <t xml:space="preserve">Credit guarantee: </t>
    </r>
    <r>
      <rPr>
        <sz val="10"/>
        <color theme="1"/>
        <rFont val="Arial Nova"/>
        <family val="2"/>
      </rPr>
      <t xml:space="preserve">The operationalization of the established credit guarantee scheme will enhance credit extension/lending, especially to MSMEs, as the risk of non-repayment of loans is reduced.
</t>
    </r>
    <r>
      <rPr>
        <b/>
        <sz val="10"/>
        <color theme="1"/>
        <rFont val="Arial Nova"/>
        <family val="2"/>
      </rPr>
      <t xml:space="preserve">Other: </t>
    </r>
    <r>
      <rPr>
        <sz val="10"/>
        <color theme="1"/>
        <rFont val="Arial Nova"/>
        <family val="2"/>
      </rPr>
      <t xml:space="preserve">Promote linkages between financial institutions, business development services institutions and MSMEs.
</t>
    </r>
    <r>
      <rPr>
        <b/>
        <sz val="10"/>
        <color theme="1"/>
        <rFont val="Arial Nova"/>
        <family val="2"/>
      </rPr>
      <t xml:space="preserve">Payment system infrastructure: </t>
    </r>
    <r>
      <rPr>
        <sz val="10"/>
        <color theme="1"/>
        <rFont val="Arial Nova"/>
        <family val="2"/>
      </rPr>
      <t xml:space="preserve">Improve payment and settlement systems by establishing an automated clearing house with the necessary infrastructure.
* Develop trade financing mechanisms and promote safe payment settlement systems.
* Develop MSMEs related infrastructure and improve access to technology.
</t>
    </r>
    <r>
      <rPr>
        <b/>
        <sz val="10"/>
        <color theme="1"/>
        <rFont val="Arial Nova"/>
        <family val="2"/>
      </rPr>
      <t>Regulatory environment:</t>
    </r>
    <r>
      <rPr>
        <sz val="10"/>
        <color theme="1"/>
        <rFont val="Arial Nova"/>
        <family val="2"/>
      </rPr>
      <t xml:space="preserve"> Improve the regulatory and supervisory framework to deal with risk, especially external shocks, including adoption of macro-prudential approach.</t>
    </r>
  </si>
  <si>
    <t>i) The Lesotho economy is expected to grow by about 5 per cent a year on average, over the Plan period
ii) Formal employment will continue to grow, creating an additional 47,000 jobs, at an annual average rate of 3.0%.
iii) This Plan targets the attainment of 50,000 private sector jobs and long-term GDP growth of 5% per annum, which will
double the size of our economy every 16 years
iv) In terms of health and human resource development, adult literacy is on target at 85%</t>
  </si>
  <si>
    <t>centralbank.org.ls/images/Financial_Stability/Financial_Inclusion/NSDP_Final_-_28.06.12.pdf</t>
  </si>
  <si>
    <t>Lesotho Economic Diversification Support Project (EDSP)</t>
  </si>
  <si>
    <t>Credit guarantee, Enabling infrastructure, Grants and subsidies</t>
  </si>
  <si>
    <t>Micro enterprises, Start ups, Youth, Women</t>
  </si>
  <si>
    <t>Manufacturing, Tourism, Trade</t>
  </si>
  <si>
    <t xml:space="preserve">Commercial banks, MFIs, Other financial institutions </t>
  </si>
  <si>
    <t>* To contribute to inclusive growth through enhanced economic diversification and strengthened enterprise development.
* To support private sector development through improving partnership, entrepreneurship and skills development, and investment promotion in the selected sectors critical for economic diversification.</t>
  </si>
  <si>
    <r>
      <rPr>
        <b/>
        <sz val="10"/>
        <color theme="1"/>
        <rFont val="Arial Nova"/>
        <family val="2"/>
      </rPr>
      <t>Credit guarantee:</t>
    </r>
    <r>
      <rPr>
        <sz val="10"/>
        <color theme="1"/>
        <rFont val="Arial Nova"/>
        <family val="2"/>
      </rPr>
      <t xml:space="preserve">
* There are two Partial Credit Guarantee Schemes, one operated by the Lesotho National Development Corporation (LNDC) and the other by the Ministry of Finance for a 50% and 70% cover respectively to ease the challenges of access to finance. The uptake is limited as most SMMES are unable to meet the requirements which includes business owners’ contribution of 30%. 
</t>
    </r>
    <r>
      <rPr>
        <b/>
        <sz val="10"/>
        <color theme="1"/>
        <rFont val="Arial Nova"/>
        <family val="2"/>
      </rPr>
      <t>Capacity building MSMEs:</t>
    </r>
    <r>
      <rPr>
        <sz val="10"/>
        <color theme="1"/>
        <rFont val="Arial Nova"/>
        <family val="2"/>
      </rPr>
      <t xml:space="preserve">
* Introduce a Business Plan Competition program aimed at supporting innovative ideas and entrepreneurs through entrepreneurship and technical skill training, mentoring, handholding, and other business development services.
* Improved capacity in policy implementation and monitoring in the public sector and SMMEs gaining basic business, entrepreneurial and technical skills as well as financial literacy.
</t>
    </r>
    <r>
      <rPr>
        <b/>
        <sz val="10"/>
        <color theme="1"/>
        <rFont val="Arial Nova"/>
        <family val="2"/>
      </rPr>
      <t xml:space="preserve">Capacity building financial institutions: </t>
    </r>
    <r>
      <rPr>
        <sz val="10"/>
        <color theme="1"/>
        <rFont val="Arial Nova"/>
        <family val="2"/>
      </rPr>
      <t xml:space="preserve">Providing technical assistance for product and market development to attract local and foreign entrepreneurs to invest in the selected sectors. 
</t>
    </r>
    <r>
      <rPr>
        <b/>
        <sz val="10"/>
        <color theme="1"/>
        <rFont val="Arial Nova"/>
        <family val="2"/>
      </rPr>
      <t>Grants and subsidies:</t>
    </r>
    <r>
      <rPr>
        <sz val="10"/>
        <color theme="1"/>
        <rFont val="Arial Nova"/>
        <family val="2"/>
      </rPr>
      <t xml:space="preserve">
* Government Training Institutions, and Private Sector as well as to improve access to finance by supporting Government initiatives in the areas of competitive grant scheme and micro-finance schemes.
* Improve the operational framework for the competitive grant scheme of the Ministry of Small Business and Cooperatives. </t>
    </r>
  </si>
  <si>
    <t>* 100 SMME owners (50% women) (2019)
*50 SMMEs (50% women owned) (2019)
* 3 SMMEs linked with large enterprises (2019)
* 25 SMMEs (50% owned by women) (2019)</t>
  </si>
  <si>
    <t>https://www.afdb.org/fileadmin/uploads/afdb/Documents/Project-and-Operations/LESOTHO1-_Approved_Economic_Diversification_Support_Project_EDSP.pdf</t>
  </si>
  <si>
    <t>Financial Inclusion Roadmap</t>
  </si>
  <si>
    <t xml:space="preserve">Ministry of Finance </t>
  </si>
  <si>
    <t>Ministry of Finance, Central Bank of Lesotho</t>
  </si>
  <si>
    <t>Capacity building MSMEs, Incentives to financial institutions, Payment system infrastructure, Regulatory environment</t>
  </si>
  <si>
    <t xml:space="preserve"> Micro enterprises, Migrants</t>
  </si>
  <si>
    <t>Agriculture, Manufacturing, Services</t>
  </si>
  <si>
    <t>Commercial banks, MFIs, MNOs, NGOs</t>
  </si>
  <si>
    <t>* Increase access to quality and diverse formal financial services to support economic growth and improve household welfare through five key objectives:
- Increasing outreach and quality of financial services
- Increasing financial and investment capacity
- Creating and capacitating inclusive financial service providers,
- Ensuring an enabling regulatory environment, and
- Customer education</t>
  </si>
  <si>
    <r>
      <rPr>
        <b/>
        <sz val="10"/>
        <color theme="1"/>
        <rFont val="Arial Nova"/>
        <family val="2"/>
      </rPr>
      <t xml:space="preserve">Incentives to financial institutions: </t>
    </r>
    <r>
      <rPr>
        <sz val="10"/>
        <color theme="1"/>
        <rFont val="Arial Nova"/>
        <family val="2"/>
      </rPr>
      <t xml:space="preserve">Government to incentivise and leverage the private sector to provide SMME and agricultural credit e.g. providing access to state-run networks, reduced requirements.
</t>
    </r>
    <r>
      <rPr>
        <b/>
        <sz val="10"/>
        <color theme="1"/>
        <rFont val="Arial Nova"/>
        <family val="2"/>
      </rPr>
      <t xml:space="preserve">Capacity building MSMEs: </t>
    </r>
    <r>
      <rPr>
        <sz val="10"/>
        <color theme="1"/>
        <rFont val="Arial Nova"/>
        <family val="2"/>
      </rPr>
      <t xml:space="preserve">Education and awareness of the benefits of financial services products and access for SMMEs and farmers.
</t>
    </r>
    <r>
      <rPr>
        <b/>
        <sz val="10"/>
        <color theme="1"/>
        <rFont val="Arial Nova"/>
        <family val="2"/>
      </rPr>
      <t xml:space="preserve">Payment system infrastructure: </t>
    </r>
    <r>
      <rPr>
        <sz val="10"/>
        <color theme="1"/>
        <rFont val="Arial Nova"/>
        <family val="2"/>
      </rPr>
      <t xml:space="preserve">Enhance low cost cross-border remittance channels through MNOs, Retailers and reduced cost bank transfers.
</t>
    </r>
    <r>
      <rPr>
        <b/>
        <sz val="10"/>
        <color theme="1"/>
        <rFont val="Arial Nova"/>
        <family val="2"/>
      </rPr>
      <t xml:space="preserve">Regulatory environment:
</t>
    </r>
    <r>
      <rPr>
        <sz val="10"/>
        <color theme="1"/>
        <rFont val="Arial Nova"/>
        <family val="2"/>
      </rPr>
      <t>* Address regulatory reform backlog: Pass legislation, finalise and gazette regulations for:
• Insurance Act / Micro-insurance regulations.
• FIA / various regulations, e.g. agency banking, large financial co-operatives.
• Payments Systems Act / various regulations Repeal of Money Lenders Act.
• Regulatory reform to promote innovation: Risk-based harmonisation of regulations regarding banks and mobile money in relation to KYC and interest on mobile money.</t>
    </r>
  </si>
  <si>
    <t>https://www.uncdf.org/download/file/127/1744/lesothoroadmaprepropdf</t>
  </si>
  <si>
    <t>Rural Financial Intermediation Programme</t>
  </si>
  <si>
    <t>Ministry of Finance and Development Planning (MOFDP),</t>
  </si>
  <si>
    <t>Central Bank of Lesotho, Lesotho Post Bank, Ministry of Agriculture and
Food Security (MAFS)</t>
  </si>
  <si>
    <t xml:space="preserve">Capacity building financial institutions, Regulatory environment </t>
  </si>
  <si>
    <t>Agriculture, Financial sector</t>
  </si>
  <si>
    <t>Commercial banks, NGOs, MFIs, Other financial institutions</t>
  </si>
  <si>
    <t>* Access of the rural poor to efficient financial services on a sustainable basis that could be measured in terms of poor rural households accessing financial services, the number of new deposit accounts and loans granted, the product range offered by the participating financial institutions, the profitability of the financial services, and the impact on reduced transaction costs.</t>
  </si>
  <si>
    <r>
      <rPr>
        <b/>
        <sz val="10"/>
        <color theme="1"/>
        <rFont val="Arial Nova"/>
        <family val="2"/>
      </rPr>
      <t>Capacity building financial institutions:</t>
    </r>
    <r>
      <rPr>
        <sz val="10"/>
        <color theme="1"/>
        <rFont val="Arial Nova"/>
        <family val="2"/>
      </rPr>
      <t xml:space="preserve">
* Improving the capacity of financial institutions (e.g. financial cooperatives, RSCGs, informal financial cooperatives) which provided pro-poor services in rural areas, and increasing transactions within these groups and with the banking sector.
* Capacity-building for the implementing agencies (Central Bank of Lesotho, Department of Cooperatives, service providers), efficient rural microfinance services would be provided. 
* RUFIP enhanced women’s access to services provided by MBFIs, including training and loans, thus facilitating the creation, expansion and ownership of their businesses, which led to the increase in the incremental income of the households. 
* Building the capacity of governmental implementing partners, which in turn would build the capacity of MBFIs as member-owned local financial intermediaries and enable them to accumulate member savings and transform them into loans to members for income smoothing and the financing of member enterprises. 
</t>
    </r>
    <r>
      <rPr>
        <b/>
        <sz val="10"/>
        <color theme="1"/>
        <rFont val="Arial Nova"/>
        <family val="2"/>
      </rPr>
      <t>Credit guarantee:</t>
    </r>
    <r>
      <rPr>
        <sz val="10"/>
        <color theme="1"/>
        <rFont val="Arial Nova"/>
        <family val="2"/>
      </rPr>
      <t xml:space="preserve">
* Improving the access of the economically active poor population to financial services (particularly credit) initially to be provided by commercial banks. This component was supported through capacity-building of the Lesotho Post Bank and enhancing the Credit Guarantee Fund (CGF) to create linkages between commercial banks and MFBIs.
* A Rural Credit Guarantee Fund has been the main instrument of the Central Bank of Lesotho to encourage commercial banks to lend to RSCGs.
</t>
    </r>
    <r>
      <rPr>
        <b/>
        <sz val="10"/>
        <color theme="1"/>
        <rFont val="Arial Nova"/>
        <family val="2"/>
      </rPr>
      <t xml:space="preserve">Regulatory environment: </t>
    </r>
    <r>
      <rPr>
        <sz val="10"/>
        <color theme="1"/>
        <rFont val="Arial Nova"/>
        <family val="2"/>
      </rPr>
      <t>The enactment of a non-bank financial institution policy and regulatory framework as part of the Financial Institutions Act (2012), and the development of the supervisory capacity of the Central Bank of Lesotho.</t>
    </r>
  </si>
  <si>
    <t>Rural Credit Guarantee Fund (sub-intervention not included here)</t>
  </si>
  <si>
    <t xml:space="preserve">The PCR reported nine indicators for this component, of which only four included
targets at appraisal. These were: 
(i) people who have received project services (49,044 against a target of 45,000); 
(ii) Households receiving project services (49,055 against a target of 43,000); 
(iii) Number of groups supported (631 against a target of 380) 
(iv) Membership (9,811 against a target of 7,400). The targets for the remaining five indicators were set up during the mid-term review (MTR), of which three indicators exceeded the MTR targets by 8 per cent (number of savers), 110 per cent (active borrowers/number of loans outstanding), and 39 per cent (value of loans outstanding). </t>
  </si>
  <si>
    <t>https://www.researchgate.net/publication/322102756_Kingdom_of_Lesotho_Rural_Financial_Intermediation_Programme_Project_Performance_Evaluation_Independent_Office_of_Evaluation_International_Fund_for_Agricultural_Development</t>
  </si>
  <si>
    <t xml:space="preserve">Lesotho </t>
  </si>
  <si>
    <t>Financial Sector Development Strategy</t>
  </si>
  <si>
    <t>Central bank of Lesotho</t>
  </si>
  <si>
    <t>Ministry of Finance, Ministry of Development
Planning, Ministry Trade, Industry, Cooperatives and Marketing</t>
  </si>
  <si>
    <t>Credit information system, Capacity building MSMEs,  Incentives to financial institutions, Collateral registry, Payment system infrastructure, Regulatory environment</t>
  </si>
  <si>
    <t>Agriculture, Digital economy, Financial sector, Trade</t>
  </si>
  <si>
    <t>Commercial banks, MFIs, MNOs</t>
  </si>
  <si>
    <t>* Improve access to finance.
* Increase alternatives for mobilising financial resources.
* Promote a savings culture.
* Improve financial sector efficiency.
* Bridge the skills gaps in the financial sector and increasing financial literacy.
* Improve financial stability and soundness.</t>
  </si>
  <si>
    <r>
      <rPr>
        <b/>
        <sz val="10"/>
        <color theme="1"/>
        <rFont val="Arial Nova"/>
        <family val="2"/>
      </rPr>
      <t xml:space="preserve">Credit guarantee: </t>
    </r>
    <r>
      <rPr>
        <sz val="10"/>
        <color theme="1"/>
        <rFont val="Arial Nova"/>
        <family val="2"/>
      </rPr>
      <t xml:space="preserve">The Ministry of Trade, Industry, Cooperatives and Marketing (MTICM) will be the focal point for SMME inclusion. This will include consolidating the two existing partial credit guarantee schemes into a single program.
</t>
    </r>
    <r>
      <rPr>
        <b/>
        <sz val="10"/>
        <color theme="1"/>
        <rFont val="Arial Nova"/>
        <family val="2"/>
      </rPr>
      <t xml:space="preserve">Credit information system: </t>
    </r>
    <r>
      <rPr>
        <sz val="10"/>
        <color theme="1"/>
        <rFont val="Arial Nova"/>
        <family val="2"/>
      </rPr>
      <t xml:space="preserve">Establish a credit reference bureau to help credit providers make sound lending decisions which will increase availability, and over time reduce the cost of credit to individuals and small businesses.
</t>
    </r>
    <r>
      <rPr>
        <b/>
        <sz val="10"/>
        <color theme="1"/>
        <rFont val="Arial Nova"/>
        <family val="2"/>
      </rPr>
      <t xml:space="preserve">Capacity building MSMEs: </t>
    </r>
    <r>
      <rPr>
        <sz val="10"/>
        <color theme="1"/>
        <rFont val="Arial Nova"/>
        <family val="2"/>
      </rPr>
      <t xml:space="preserve">Effective demand from the agricultural sector will be enhanced through the use of agricultural extension offices to deliver financial literacy and other training. 
</t>
    </r>
    <r>
      <rPr>
        <b/>
        <sz val="10"/>
        <color theme="1"/>
        <rFont val="Arial Nova"/>
        <family val="2"/>
      </rPr>
      <t>Credit guarantee:</t>
    </r>
    <r>
      <rPr>
        <sz val="10"/>
        <color theme="1"/>
        <rFont val="Arial Nova"/>
        <family val="2"/>
      </rPr>
      <t xml:space="preserve"> Lesotho National Development Corporation has an established M10 million partial credit guarantee program. It will be assigned sole responsibility for implementing the Government’s partial credit guarantee scheme on a managed funds basis as a “one-stop facility” for lenders by merging the M50 MoF million credit guarantee facility with its own.
</t>
    </r>
    <r>
      <rPr>
        <b/>
        <sz val="10"/>
        <color theme="1"/>
        <rFont val="Arial Nova"/>
        <family val="2"/>
      </rPr>
      <t xml:space="preserve">Incentives to financial institutions: </t>
    </r>
    <r>
      <rPr>
        <sz val="10"/>
        <color theme="1"/>
        <rFont val="Arial Nova"/>
        <family val="2"/>
      </rPr>
      <t xml:space="preserve">Develop new types of products that are suited to the risk needs and budgets of low-income households.
</t>
    </r>
    <r>
      <rPr>
        <b/>
        <sz val="10"/>
        <color theme="1"/>
        <rFont val="Arial Nova"/>
        <family val="2"/>
      </rPr>
      <t>Collateral registry:</t>
    </r>
    <r>
      <rPr>
        <sz val="10"/>
        <color theme="1"/>
        <rFont val="Arial Nova"/>
        <family val="2"/>
      </rPr>
      <t xml:space="preserve">
* The establishment of an electronic land register and simplifying the enforcement of a mortgage of land will further reduce the risks and costs of lending against leasehold titles and thereby benefit potential borrowers.
* The introduction of a law and registry to facilitate use of moveable property as collateral, will focus on improving financial literacy in the rural areas.
* Establishing a same day electronic land registration system to create bankable collateral for loans.
* Improvements in land titling and registration enhance effective agricultural demand for credit, improving ability to use crops as collateral for credit would also make a major contribution.
</t>
    </r>
    <r>
      <rPr>
        <b/>
        <sz val="10"/>
        <color theme="1"/>
        <rFont val="Arial Nova"/>
        <family val="2"/>
      </rPr>
      <t xml:space="preserve">Regulatory environment: </t>
    </r>
    <r>
      <rPr>
        <sz val="10"/>
        <color theme="1"/>
        <rFont val="Arial Nova"/>
        <family val="2"/>
      </rPr>
      <t xml:space="preserve">The outdated HirePurchase Act will be replaced by modern law that will allow all forms of movable and personal property to be used as collateral, helping SMMEs access credit.
</t>
    </r>
    <r>
      <rPr>
        <b/>
        <sz val="10"/>
        <color theme="1"/>
        <rFont val="Arial Nova"/>
        <family val="2"/>
      </rPr>
      <t>Payment system infrastructure</t>
    </r>
    <r>
      <rPr>
        <sz val="10"/>
        <color theme="1"/>
        <rFont val="Arial Nova"/>
        <family val="2"/>
      </rPr>
      <t xml:space="preserve">:
* Improving Efficiency—The Payments System. The Payment System Bill will be enacted to more clearly provide a foundation for CBL oversight of the payment system.
* Micro-finance loan disbursements and payments.
</t>
    </r>
    <r>
      <rPr>
        <b/>
        <sz val="10"/>
        <color theme="1"/>
        <rFont val="Arial Nova"/>
        <family val="2"/>
      </rPr>
      <t xml:space="preserve">Regulatory environment: </t>
    </r>
    <r>
      <rPr>
        <sz val="10"/>
        <color theme="1"/>
        <rFont val="Arial Nova"/>
        <family val="2"/>
      </rPr>
      <t>Priority will be given to preparing an appropriate legal and regulatory MFI framework that balances effective oversight with the creation of a supportive environment to attract new entrants.</t>
    </r>
  </si>
  <si>
    <t xml:space="preserve">Credit Reporting Act 2011 (CRA) </t>
  </si>
  <si>
    <t>* The recent sharp increase in mortgage financing provided by financial institutions reflects the success of land administration reform</t>
  </si>
  <si>
    <t>https://www.centralbank.org.ls/images/Financial_Stability/Financial_Inclusion/Lesotho%20FSDS%20%20-%20Nov%202013.pdf</t>
  </si>
  <si>
    <t xml:space="preserve">Government of Lesotho </t>
  </si>
  <si>
    <t xml:space="preserve"> Enabling infrastructure</t>
  </si>
  <si>
    <t>Capacity building financial institution, Capacity building MSMEs, Regulatory environment,</t>
  </si>
  <si>
    <t>The main objective of the programme was to contribute to poverty reduction and the promotion of economic growth by working with GoL, and related stakeholders to strategically and effectively address the gaps and bottlenecks that have impeded financial inclusion in Lesotho so far. SUFIL has objectives at three levels of intervention as follows:
* At the Macro level – Regulatory and Policy Environment Improved: through improved sector coordination and leadership of the Ministry of Finance and Development Planning;
* At the Meso level – Supportive Meso Financial Infrastructure Strengthened; through capacity building of selected Technical Service Providers, financial literacy and knowledge dissemination;
* A the Micro level – Access to a broader range of financial services improved and accelerated through innovations and support to sustainable inclusive finance providers and market leaders.</t>
  </si>
  <si>
    <r>
      <rPr>
        <b/>
        <sz val="10"/>
        <color theme="1"/>
        <rFont val="Arial Nova"/>
        <family val="2"/>
      </rPr>
      <t xml:space="preserve">Capacity building financial institutions: </t>
    </r>
    <r>
      <rPr>
        <sz val="10"/>
        <color theme="1"/>
        <rFont val="Arial Nova"/>
        <family val="2"/>
      </rPr>
      <t xml:space="preserve">Strengthen the capacity of Technical Service Providers (TSPs) - Moliko Finance Trust and the SMME Support Network.
</t>
    </r>
    <r>
      <rPr>
        <b/>
        <sz val="10"/>
        <color theme="1"/>
        <rFont val="Arial Nova"/>
        <family val="2"/>
      </rPr>
      <t xml:space="preserve">Capacity building MSMEs:
</t>
    </r>
    <r>
      <rPr>
        <sz val="10"/>
        <color theme="1"/>
        <rFont val="Arial Nova"/>
        <family val="2"/>
      </rPr>
      <t xml:space="preserve">* Outreach activities related to financial literacy were successfully carried out.
* In terms of the development of financial literacy and consumer protection policy, strategy and action plans, the programme facilitated the development in 2012, of a draft National Strategy for Financial Literacy and Consumer Protection (NSFLCP).
</t>
    </r>
    <r>
      <rPr>
        <b/>
        <sz val="10"/>
        <color theme="1"/>
        <rFont val="Arial Nova"/>
        <family val="2"/>
      </rPr>
      <t xml:space="preserve">Payment system infrastructure: </t>
    </r>
    <r>
      <rPr>
        <sz val="10"/>
        <color theme="1"/>
        <rFont val="Arial Nova"/>
        <family val="2"/>
      </rPr>
      <t xml:space="preserve">Mobile Money MM, as a payment platform, including for GPP (government to people) transfers – social grants of various types, and as a potential savings, lending and insurance platform.
</t>
    </r>
    <r>
      <rPr>
        <b/>
        <sz val="10"/>
        <color theme="1"/>
        <rFont val="Arial Nova"/>
        <family val="2"/>
      </rPr>
      <t>Regulatory environment:</t>
    </r>
    <r>
      <rPr>
        <sz val="10"/>
        <color theme="1"/>
        <rFont val="Arial Nova"/>
        <family val="2"/>
      </rPr>
      <t xml:space="preserve">
* Mobile Money (MM), to establish a regulatory framework for this a new payment, insurance, saving and lending platform.
* The drafting of a new Insurance Bill, which regulates funeral insurance and open possibilities for innovative micro-insurance products and services; draft micro insurance regulatory framework.
* The enactment of the Financial Institutions Act (FIA), with on-going efforts to finalise regulations governing all financial institutions, including MFIs, the pending repeal of the Money Lender’s Act, the development of new Insurance Bill.</t>
    </r>
  </si>
  <si>
    <t>* At the meso level, it built the capacity of 2 out of 5 Technical Service Providers (TSPs), who provided Financial Education (FE) services to programme target groups
* At the micro level, the programme impacted positively on 490 members of Village Savings and Loan Association (VSLAs), some of whom, on the basis of interaction through focus group sessions, indicated the considerable benefits of the training they received for their micro enterprises.</t>
  </si>
  <si>
    <t>https://erc.undp.org/evaluation/documents/download/8859</t>
  </si>
  <si>
    <t>Private Sector Competitiveness and Economic Diversification Project_x000D_</t>
  </si>
  <si>
    <t>Ministry of Agriculture and Food Security, Lesotho National Development Cooperation,
Ministry of Trade, Industry, Cooperatives and Marketing
Ministry of Home Affairs and Public Security,
Lesotho Tourism Development Council</t>
  </si>
  <si>
    <t>Capacity building financial institutions, Capacity building MSMEs, Credit information systems, Regulatory environment</t>
  </si>
  <si>
    <t xml:space="preserve">Agriculture, Health Care, Manufacturing, Trade, Tourism </t>
  </si>
  <si>
    <t xml:space="preserve">Commercial banks, NGOs, Other financial institutions </t>
  </si>
  <si>
    <t xml:space="preserve">* To facilitate increased private sector investment by improving the business environment and diversifying sources of growth. This goal will be achieved by reducing the costs of doing business; strengthening the linkages and integration of the Lesotho economy with the regional economy, especially with South Africa.
* Strengthening support for technical and business management skills thereby improving productivity at the firm level, and improving access to finance for MSMEs. These measures will also support the poverty reduction strategy dialogue and implementation of agreed upon policy measures. </t>
  </si>
  <si>
    <r>
      <rPr>
        <b/>
        <sz val="10"/>
        <color theme="1"/>
        <rFont val="Arial Nova"/>
        <family val="2"/>
      </rPr>
      <t>Capacity building financial institutions:</t>
    </r>
    <r>
      <rPr>
        <sz val="10"/>
        <color theme="1"/>
        <rFont val="Arial Nova"/>
        <family val="2"/>
      </rPr>
      <t xml:space="preserve">
* Facilitate increased private sector investment by improving the business environment and diversifying sources of growth
* Strengthening support for technical and business management skills thereby improving productivity at the firm level, and improving access to finance for MSMEs
</t>
    </r>
    <r>
      <rPr>
        <b/>
        <sz val="10"/>
        <color theme="1"/>
        <rFont val="Arial Nova"/>
        <family val="2"/>
      </rPr>
      <t>Credit guarantee:</t>
    </r>
    <r>
      <rPr>
        <sz val="10"/>
        <color theme="1"/>
        <rFont val="Arial Nova"/>
        <family val="2"/>
      </rPr>
      <t xml:space="preserve">
* Enterprise Development Facility (EDF) would provide guarantees for SMEs’ borrowing from commercial banks in lieu of collateral
* The LNDC’s partial credit guarantee program (US$1 million equivalent) was established
</t>
    </r>
    <r>
      <rPr>
        <b/>
        <sz val="10"/>
        <color theme="1"/>
        <rFont val="Arial Nova"/>
        <family val="2"/>
      </rPr>
      <t>Capacity building MSMEs:</t>
    </r>
    <r>
      <rPr>
        <sz val="10"/>
        <color theme="1"/>
        <rFont val="Arial Nova"/>
        <family val="2"/>
      </rPr>
      <t xml:space="preserve">
* Capacity building of financial management systems. Leasing training/work plan developed and training of various target groups 
</t>
    </r>
    <r>
      <rPr>
        <b/>
        <sz val="10"/>
        <color theme="1"/>
        <rFont val="Arial Nova"/>
        <family val="2"/>
      </rPr>
      <t xml:space="preserve">Credit information system: </t>
    </r>
    <r>
      <rPr>
        <sz val="10"/>
        <color theme="1"/>
        <rFont val="Arial Nova"/>
        <family val="2"/>
      </rPr>
      <t xml:space="preserve">Development of a credit information system and the legal and regulatory framework of insolvency, which could help alleviate the credit risk associated with the LNDC’s partial guarantee program.
</t>
    </r>
    <r>
      <rPr>
        <b/>
        <sz val="10"/>
        <color theme="1"/>
        <rFont val="Arial Nova"/>
        <family val="2"/>
      </rPr>
      <t xml:space="preserve">Grants and subsidies: </t>
    </r>
    <r>
      <rPr>
        <sz val="10"/>
        <color theme="1"/>
        <rFont val="Arial Nova"/>
        <family val="2"/>
      </rPr>
      <t xml:space="preserve">Cost-sharing grant for capacity building of representative business and professional associations and chambers (75% by LEAP). 
</t>
    </r>
    <r>
      <rPr>
        <b/>
        <sz val="10"/>
        <color theme="1"/>
        <rFont val="Arial Nova"/>
        <family val="2"/>
      </rPr>
      <t xml:space="preserve">Regulatory environment: </t>
    </r>
    <r>
      <rPr>
        <sz val="10"/>
        <color theme="1"/>
        <rFont val="Arial Nova"/>
        <family val="2"/>
      </rPr>
      <t xml:space="preserve">
* Company registration and licensing reform (by MTICM and Registrar General’s Office): This subcomponent aimed to achieve company registration reform through the following main activities:
i) Support implementation of trade and licensing reform.
ii) Design, procure, install, operate and maintain an integrated and computerized system for business licensing, notification and company registration.
iii) Design and conduct training programs for MCTIM staff to support new licensing regimes.
iv) Design and conduct training programs for RGO staff.
v) Support publishing and printing of laws and regulations.
* Improving access to finance by the drafting, adoption and promulgation of a leasing act consistent with the corresponding law in South Africa and including provisions on the rights, duties and obligations of the parties involved.
* Extend the reform in business registration to all types of firms and extend the regulatory reforms to the other aspects of business environment.</t>
    </r>
  </si>
  <si>
    <t xml:space="preserve"> The target was set to create 2,500 new jobs, but no detailed technical analysis was provided in the project design on why and how the Project was expected to create this many new jobs</t>
  </si>
  <si>
    <t xml:space="preserve">Financial Institutions Act (2010) </t>
  </si>
  <si>
    <t>i) In the five years (2007 – 2011) before the new company law came into effect in May 2012, 179 companies registered on average per annum. Between the milestone of the new law and the project closure (roughly 12 months), the registration list saw an increase of 472 companies which was almost three times higher than the average annual increase in the number of companies registered before the project result
was achieved
ii) The program financed over 70 business development services provided to 193 firms and 17 business associations
iii) 1,562 workers have been trained by the two centers and 1,162 placed in industry by project end
iv) Percentage distribution of LEAP funds:
*Small and Micro Enterprises – 28%
* Medium Enterprises – 13%
v) LEAP beneficiaries by Gender:
* Small and Micro Enterprises
Percentage of Small and Micro male owned Enterprises – 38%
* Percentage of Small and Micro female owned Enterprises – 62%
* Medium Enterprises Percentage of Medium male owned Enterprises –
61%
* Percentage of Medium female owned Enterprises – 39%</t>
  </si>
  <si>
    <t>i)Days required to register a company
reduced from 28 days to 7 days (a
reduction of 75% in time needed)
ii) Days required for obtaining an industrial license reduced from 35 days to 5 or fewer days (a reduction of 86% in time needed)
iii) Days required for obtaining a trade license reduced from 35-50 days to 15 days (a reduction of &lt;/= 57% in time needed)
iv) Days required to start up a business reduced from 73 in 2006 to less than 34 by project end</t>
  </si>
  <si>
    <t>http://documents1.worldbank.org/curated/en/528241468263698923/pdf/ICR29570P0885400disclosed0120260130.pdf</t>
  </si>
  <si>
    <t>National Strategy for Financial
Inclusion</t>
  </si>
  <si>
    <t xml:space="preserve">Central Bank of Liberia (CBL) </t>
  </si>
  <si>
    <t>The Ministry of Finance,
Ministry of Planning and Economic Affairs, Ministry of Agriculture,
and the Ministry of Gender and Development</t>
  </si>
  <si>
    <t xml:space="preserve">Capacity building financial institutions, Capacity building MSMEs, Credit information system </t>
  </si>
  <si>
    <t xml:space="preserve">Micro enterprises, Rural livelihoods </t>
  </si>
  <si>
    <t xml:space="preserve">MFIs, Other financial institutions </t>
  </si>
  <si>
    <t>* To create viable microfinance providers that facilitate microentrepreneurs sustained access to a diverse range of financial services: loans, savings, remittances, micro-insurance, etc., that are client responsive and cost effective.</t>
  </si>
  <si>
    <t>http://pubdocs.worldbank.org/en/551831530182402563/nfis-Liberia-2009-2013-National-Strategy-for-Financial-Inclusion.pdf</t>
  </si>
  <si>
    <t>Liberia: Poverty Reduction Strategy</t>
  </si>
  <si>
    <t xml:space="preserve">Government of Liberia </t>
  </si>
  <si>
    <t>Central Bank of Liberia</t>
  </si>
  <si>
    <t>Capacity building MSMEs, Payment system infrastructure, Regulatory environment</t>
  </si>
  <si>
    <t xml:space="preserve">Agriculture, Mining, Health care, Services, Manufacturing </t>
  </si>
  <si>
    <t xml:space="preserve">MFI, NGOs, Other financial institutions </t>
  </si>
  <si>
    <t>* Modernizing the payments system.
* Ensure that commercial banks are fully capitalized.
* Explore ways to address over time the issue of the capitalization of the Central Bank of Liberia.
* Encourage a sustainable, well-managed microfinance sector as a means of broadening and
extending financial services, especially to rural areas.
* Strengthen the legal framework to facilitate the collection of debt and enforcement of financial
contracts.
* Develop the necessary legal and regulatory environment to ensure that alternative frameworks for access to finance (such as leasing and equipment finance) can occur.
* Lay the groundwork for developing markets for short-term securities and other money market
instruments.
* Improve transparency and efficiency in information-sharing among financial institutions on the creditworthiness of potential borrowers.
* Strengthen depositor protection and improving confidence in the financial system.</t>
  </si>
  <si>
    <r>
      <rPr>
        <b/>
        <sz val="10"/>
        <color theme="1"/>
        <rFont val="Arial Nova"/>
        <family val="2"/>
      </rPr>
      <t>Capacity building MSMEs:</t>
    </r>
    <r>
      <rPr>
        <sz val="10"/>
        <color theme="1"/>
        <rFont val="Arial Nova"/>
        <family val="2"/>
      </rPr>
      <t xml:space="preserve">
* Create training programs for women, young adult workers, persons with disabilities, and other marginalized groups to better enable them to take advantage of potential
income-earning opportunities.
* The Government will launch a Women’s Entrepreneurship Program involving MSMEs that will aim to develop business skills, access to microfinance, and functional literacy. 
</t>
    </r>
    <r>
      <rPr>
        <b/>
        <sz val="10"/>
        <color theme="1"/>
        <rFont val="Arial Nova"/>
        <family val="2"/>
      </rPr>
      <t>Payment system infrastructure:</t>
    </r>
    <r>
      <rPr>
        <sz val="10"/>
        <color theme="1"/>
        <rFont val="Arial Nova"/>
        <family val="2"/>
      </rPr>
      <t xml:space="preserve">
* Modernize the payments system. Promote the use of checks and other payment instruments, including credit cards.
* Initiate financial and electronic services such as money orders, bill payments, wireless transfers, hybrid mail and other internet-related services.
</t>
    </r>
    <r>
      <rPr>
        <b/>
        <sz val="10"/>
        <color theme="1"/>
        <rFont val="Arial Nova"/>
        <family val="2"/>
      </rPr>
      <t>Regulatory environment:</t>
    </r>
    <r>
      <rPr>
        <sz val="10"/>
        <color theme="1"/>
        <rFont val="Arial Nova"/>
        <family val="2"/>
      </rPr>
      <t xml:space="preserve">
* Develop and implement a streamlined business registration process and a computerized business registry.
* Implement agreed administrative reforms as identified by the Business Reform Committee, with initial emphasis on those associated with starting a business, licensing, registering property, and trading across borders.
* Modify appropriate provisions of the Financial Institution Act to make it applicable to microfinance and other non-deposit taking financial institutions.</t>
    </r>
  </si>
  <si>
    <t>https://reliefweb.int/sites/reliefweb.int/files/resources/BE3D19D8FAF00F9A4925748000206C61-Full_Report.pdf</t>
  </si>
  <si>
    <t>Technical assistance for small and medium enterprise development</t>
  </si>
  <si>
    <t>Academy of Graduate Studies</t>
  </si>
  <si>
    <t>Capacity building MSMEs, Constraint/landscape assessment</t>
  </si>
  <si>
    <t>Training institutions</t>
  </si>
  <si>
    <t xml:space="preserve">* The overall objectives of the programme are to contribute to the diversification of the Libyan economy and the sustainability of growth. The specific purpose of the programme is to deliver support with respect to SME and entrepreneurship training and development. </t>
  </si>
  <si>
    <r>
      <rPr>
        <b/>
        <sz val="10"/>
        <color theme="1"/>
        <rFont val="Arial Nova"/>
        <family val="2"/>
      </rPr>
      <t xml:space="preserve">Capacity building MSMEs: 
* </t>
    </r>
    <r>
      <rPr>
        <sz val="10"/>
        <color theme="1"/>
        <rFont val="Arial Nova"/>
        <family val="2"/>
      </rPr>
      <t xml:space="preserve">Developing capacity building activities to support SME development through a) the development of a training programme targeting public sector officials and Academy staff and to promote private sector &amp; entrepreneurship.
* The development of a Centre for entrepreneurship to build capacity among existing and potential entrepreneurs.
* The organization of a forum to bring together entrepreneurs from a range of businesses both locally and internationally.
* The development of a wide range of activities facilitating the involvement of the Academy's students within private sector activities. Technical assistance for small and medium enterprise development.
</t>
    </r>
    <r>
      <rPr>
        <b/>
        <sz val="10"/>
        <color theme="1"/>
        <rFont val="Arial Nova"/>
        <family val="2"/>
      </rPr>
      <t xml:space="preserve">Constraint/landscape assessment:
* </t>
    </r>
    <r>
      <rPr>
        <sz val="10"/>
        <color theme="1"/>
        <rFont val="Arial Nova"/>
        <family val="2"/>
      </rPr>
      <t>The first activity involves collecting data and undertaking a detailed field study to assess Libya‟s SME sector including number, type, sector, regional distribution, contribution to the local and national economies in terms of job and wealth creation employment, and existing institutions and gaps in institutional capacity and policy initiatives to support and develop SMEs.
* Address the strengths, weaknesses, challenges, and opportunities (SWOT) currently facing SMEs (both nationally and regionally at within various sectors and industries), the role and level of other stakeholders in SME development, and the potential for increasing the competitiveness of existing SMEs and developing new individual SMEs and clusters of SMEs. 
* Investigate gaps in capacity and capability and recommend avenues for policy, stakeholder involvement and support, training, finance for different types of SMEs over their lifecycle.</t>
    </r>
  </si>
  <si>
    <t>https://silo.tips/download/the-african-development-bank</t>
  </si>
  <si>
    <t>Le programme d'Appui à l'Emploi et à l'Intégration Régionale (PROCOM)</t>
  </si>
  <si>
    <t>3 November 2014</t>
  </si>
  <si>
    <t>AECOM International Development Europe &amp; Federation of Chambers of Commerce and Industry of Madagascar</t>
  </si>
  <si>
    <t>Federation of Chambers of Commerce and Industry of Madagascar</t>
  </si>
  <si>
    <t>Capacity building financial institutions, Capacity building MSMEs, Regulatory environment</t>
  </si>
  <si>
    <t>* Capacity building of intermediary organizations and the development of private-private dialogue in order to strengthen the effectiveness of public-private dialogue.
* Strengthening the competitiveness of businesses through strengthening business skills (training in management, sales and marketing techniques, etc.), support for access to finance as well as capacity improvement processing and packaging MSMEs, including the acquisition of pooled equipment.
* Support for better access to market information and the search for new outlets at national, regional and international level. The counterpart of this search for new outlets is the improvement of quality through the certification of MSMEs, the adequacy of production to the standards in force, the creation of labels (organic, fair trade) or the creation of IGP. This support is also coupled with an intervention to improve the quality control infrastructure and accreditation.</t>
  </si>
  <si>
    <r>
      <rPr>
        <b/>
        <sz val="10"/>
        <color theme="1"/>
        <rFont val="Arial Nova"/>
        <family val="2"/>
      </rPr>
      <t xml:space="preserve">Capacity building financial institutions:
* </t>
    </r>
    <r>
      <rPr>
        <sz val="10"/>
        <color theme="1"/>
        <rFont val="Arial Nova"/>
        <family val="2"/>
      </rPr>
      <t xml:space="preserve">Support to improve access to finance.
* Support for vocational training (Diagnosis of needs in the selected sectors, taking into account studies already funded by other donors and technical and financial partners; Training of trainers; Technical training in crafts, construction, agribusiness, tourism, textiles; Companionship / learning; Support for reflection on the sustainable financing of vocational training). </t>
    </r>
    <r>
      <rPr>
        <b/>
        <sz val="10"/>
        <color theme="1"/>
        <rFont val="Arial Nova"/>
        <family val="2"/>
      </rPr>
      <t xml:space="preserve">
Capacity building MSMEs:
* </t>
    </r>
    <r>
      <rPr>
        <sz val="10"/>
        <color theme="1"/>
        <rFont val="Arial Nova"/>
        <family val="2"/>
      </rPr>
      <t>Actions aimed at strengthening IOs: staff training, creation or improvement of their website, acquisition of equipment in order to carry out an activity, improvement of communication &amp; visibility, financial empowerment strategy and the offer of paid services to their members.</t>
    </r>
    <r>
      <rPr>
        <b/>
        <sz val="10"/>
        <color theme="1"/>
        <rFont val="Arial Nova"/>
        <family val="2"/>
      </rPr>
      <t xml:space="preserve">
* </t>
    </r>
    <r>
      <rPr>
        <sz val="10"/>
        <color theme="1"/>
        <rFont val="Arial Nova"/>
        <family val="2"/>
      </rPr>
      <t xml:space="preserve">Support to improve the processing and packaging capacities of MSMEs (Assessment of projects for the financing of equipment for groups of producers or collectors for the creation or rehabilitation of processing / packaging units in the food industry and crafts in particular).
* Improving the quality control infrastructure (Support for laboratories to enable them to perform the main analyzes requested by operators; support for accreditation)
</t>
    </r>
    <r>
      <rPr>
        <b/>
        <sz val="10"/>
        <color theme="1"/>
        <rFont val="Arial Nova"/>
        <family val="2"/>
      </rPr>
      <t>Regulatory environment:</t>
    </r>
    <r>
      <rPr>
        <sz val="10"/>
        <color theme="1"/>
        <rFont val="Arial Nova"/>
        <family val="2"/>
      </rPr>
      <t xml:space="preserve">
* Support for quality certifications (ISO, organic, fair trade, etc.) 
* Support for the certification of exporting companies via a quality approach and compliance. 
* Support for the certification of MSMEs</t>
    </r>
  </si>
  <si>
    <t>*80 activities have been developed
*43 Intermediate Organizations were supported</t>
  </si>
  <si>
    <t xml:space="preserve">https://www.procom.mg/#:~:text=Le%20programme%20d'Appui%20%C3%A0,une%20p%C3%A9riode%20de%205%20ans.&amp;text=La%20FCCIM%20est%20une%20structure,promotion%20du%20secteur%20priv%C3%A9%20local. </t>
  </si>
  <si>
    <t>Support program to the Madagascar SME and microfinance sector</t>
  </si>
  <si>
    <t>ADEFI ACEP Developpement CITE</t>
  </si>
  <si>
    <t xml:space="preserve">* The program promotes the financing of domestic market oriented Madagascar SMEs, in particular for investment needs and facilitate the access of entrepreneurs to markets and new technologies. </t>
  </si>
  <si>
    <r>
      <rPr>
        <b/>
        <sz val="10"/>
        <color theme="1"/>
        <rFont val="Arial Nova"/>
        <family val="2"/>
      </rPr>
      <t xml:space="preserve">Capacity building financial institutions: </t>
    </r>
    <r>
      <rPr>
        <sz val="10"/>
        <color theme="1"/>
        <rFont val="Arial Nova"/>
        <family val="2"/>
      </rPr>
      <t xml:space="preserve">Creation of a SME lending service (product development, staff training) within the Madagascar MFI ADEFI.
</t>
    </r>
    <r>
      <rPr>
        <b/>
        <sz val="10"/>
        <color theme="1"/>
        <rFont val="Arial Nova"/>
        <family val="2"/>
      </rPr>
      <t xml:space="preserve">Capacity building MSMEs: </t>
    </r>
    <r>
      <rPr>
        <sz val="10"/>
        <color theme="1"/>
        <rFont val="Arial Nova"/>
        <family val="2"/>
      </rPr>
      <t>Development of information services for small enterprises.</t>
    </r>
  </si>
  <si>
    <t>One of its programs, the Casamance Business Upgrade Program aimed at improving the competitiveness over the 2015-2018 period, of 75 SMEs and 10 larger businesses</t>
  </si>
  <si>
    <t>Partial credit guarantee project</t>
  </si>
  <si>
    <t>IDA/IFC, Government of Madagascar, Commercial banks</t>
  </si>
  <si>
    <t>Capacity building MSMEs, Capacity building financial institutions</t>
  </si>
  <si>
    <r>
      <rPr>
        <b/>
        <sz val="10"/>
        <color theme="1"/>
        <rFont val="Arial Nova"/>
        <family val="2"/>
      </rPr>
      <t>Capacity building MSMEs:</t>
    </r>
    <r>
      <rPr>
        <sz val="10"/>
        <color theme="1"/>
        <rFont val="Arial Nova"/>
        <family val="2"/>
      </rPr>
      <t xml:space="preserve"> Advisory services for MSMEs in loan applications as well as basic financial concepts. 
</t>
    </r>
    <r>
      <rPr>
        <b/>
        <sz val="10"/>
        <color theme="1"/>
        <rFont val="Arial Nova"/>
        <family val="2"/>
      </rPr>
      <t xml:space="preserve">Capacity building financial institutions: </t>
    </r>
    <r>
      <rPr>
        <sz val="10"/>
        <color theme="1"/>
        <rFont val="Arial Nova"/>
        <family val="2"/>
      </rPr>
      <t>Advisory services provided by IDA to the participating banks to enhance their capacity to better underwrite new SME loans on a profitable and sustainable basis.</t>
    </r>
  </si>
  <si>
    <t>Making Access Possible (MAP) for MSMEs: Malawi Roadmap 2019</t>
  </si>
  <si>
    <t>Ministry of Finance, Economic
Planning and Development, FinMark Trust</t>
  </si>
  <si>
    <t>Ministry of Industry, Trade and Tourism, Small and Medium Enterprises Development Institute, Reserve Bank of Malawi</t>
  </si>
  <si>
    <t>Credit guarantee, Direct lending, Grants and subsidies, Enabling infrastructure</t>
  </si>
  <si>
    <t>Capacity building financial institutions, Capacity building MSMEs, Credit information system, Payment system infrastructure, Collateral registry</t>
  </si>
  <si>
    <t>Business associations, Commercial banks, Community groups, MFIs, MNOs</t>
  </si>
  <si>
    <t>* To enhance access to finance for SMEs.
* Develop SME capacity and support formalisation.</t>
  </si>
  <si>
    <r>
      <rPr>
        <b/>
        <sz val="10"/>
        <color theme="1"/>
        <rFont val="Arial Nova"/>
        <family val="2"/>
      </rPr>
      <t xml:space="preserve">Credit guarantee: </t>
    </r>
    <r>
      <rPr>
        <sz val="10"/>
        <color theme="1"/>
        <rFont val="Arial Nova"/>
        <family val="2"/>
      </rPr>
      <t xml:space="preserve">Launch of partial credit guarantee (PCG) schemes for FSPs.
</t>
    </r>
    <r>
      <rPr>
        <b/>
        <sz val="10"/>
        <color theme="1"/>
        <rFont val="Arial Nova"/>
        <family val="2"/>
      </rPr>
      <t xml:space="preserve">Capacity building MSMEs:
* </t>
    </r>
    <r>
      <rPr>
        <sz val="10"/>
        <color theme="1"/>
        <rFont val="Arial Nova"/>
        <family val="2"/>
      </rPr>
      <t xml:space="preserve">Develop training in financial management and reporting, building business plans and strategies, and assistance with how to formalise for start-up and growing enterprises.
* Develop specialised BDS services to improve productivity in agriculture sector;  Impact investors, DFIs, angel investors, banks and MFIs to work closely with BDS providers to source potential SME clients.
</t>
    </r>
    <r>
      <rPr>
        <b/>
        <sz val="10"/>
        <color theme="1"/>
        <rFont val="Arial Nova"/>
        <family val="2"/>
      </rPr>
      <t xml:space="preserve">Capacity building financial institutions: </t>
    </r>
    <r>
      <rPr>
        <sz val="10"/>
        <color theme="1"/>
        <rFont val="Arial Nova"/>
        <family val="2"/>
      </rPr>
      <t xml:space="preserve">Considering the scale that these formal providers may be able to offer, government agencies and donors may continue to incentivise capacity building to FSPs to nudge them towards enhancing their coverage of the target segment.
</t>
    </r>
    <r>
      <rPr>
        <b/>
        <sz val="10"/>
        <color theme="1"/>
        <rFont val="Arial Nova"/>
        <family val="2"/>
      </rPr>
      <t>Credit information system:</t>
    </r>
    <r>
      <rPr>
        <sz val="10"/>
        <color theme="1"/>
        <rFont val="Arial Nova"/>
        <family val="2"/>
      </rPr>
      <t xml:space="preserve"> Cleaning the data within CRBs and including non-credit information such as utility providers, government payments, and mobile money transactions to increase the richness of data.
</t>
    </r>
    <r>
      <rPr>
        <b/>
        <sz val="10"/>
        <color theme="1"/>
        <rFont val="Arial Nova"/>
        <family val="2"/>
      </rPr>
      <t>Direct lending:</t>
    </r>
    <r>
      <rPr>
        <sz val="10"/>
        <color theme="1"/>
        <rFont val="Arial Nova"/>
        <family val="2"/>
      </rPr>
      <t xml:space="preserve"> Consider developing wholesale lending model for the MFI sector.
</t>
    </r>
    <r>
      <rPr>
        <b/>
        <sz val="10"/>
        <color theme="1"/>
        <rFont val="Arial Nova"/>
        <family val="2"/>
      </rPr>
      <t>Grants and subisides:</t>
    </r>
    <r>
      <rPr>
        <sz val="10"/>
        <color theme="1"/>
        <rFont val="Arial Nova"/>
        <family val="2"/>
      </rPr>
      <t xml:space="preserve"> Promote grant to start-up and growing agricultural producers and processors.
</t>
    </r>
    <r>
      <rPr>
        <b/>
        <sz val="10"/>
        <color theme="1"/>
        <rFont val="Arial Nova"/>
        <family val="2"/>
      </rPr>
      <t xml:space="preserve">Collateral registry: </t>
    </r>
    <r>
      <rPr>
        <sz val="10"/>
        <color theme="1"/>
        <rFont val="Arial Nova"/>
        <family val="2"/>
      </rPr>
      <t xml:space="preserve">Strengthening the Personal Propoerty Security Register and improving the customer experience.
</t>
    </r>
    <r>
      <rPr>
        <b/>
        <sz val="10"/>
        <color theme="1"/>
        <rFont val="Arial Nova"/>
        <family val="2"/>
      </rPr>
      <t xml:space="preserve">Payment system infrastructure: </t>
    </r>
    <r>
      <rPr>
        <sz val="10"/>
        <color theme="1"/>
        <rFont val="Arial Nova"/>
        <family val="2"/>
      </rPr>
      <t>Digitise SME cash flows by promoting payment interoperability and merchant acquisition.</t>
    </r>
  </si>
  <si>
    <t>Only provide indicators but no direct targets:
*Increased provision and uptake of financial services to/by SMEs
*Increased usage of the Personal Property Security Register and Credit Reference Bureaus
*Increased provision and uptake of financing to start-up and growing enterprises
*Growth equity and blended finance to start-up and growing enterprises</t>
  </si>
  <si>
    <t xml:space="preserve">Micro: 1-4 employees 
Small: 5-20 employees 
Medium: 21-100 employees </t>
  </si>
  <si>
    <t>https://www.genesis-analytics.com/uploads/downloads/Malawi_Roadmap-2020-05-22.pdf</t>
  </si>
  <si>
    <t>Department for International Development UK, Ministry of Trade and Industry, United Nations Development Program</t>
  </si>
  <si>
    <t>Capacity building MSMEs, Incentives to financial institutions</t>
  </si>
  <si>
    <t>* Increase access to finance and credit.</t>
  </si>
  <si>
    <r>
      <t xml:space="preserve">
</t>
    </r>
    <r>
      <rPr>
        <b/>
        <sz val="10"/>
        <color theme="1"/>
        <rFont val="Arial Nova"/>
        <family val="2"/>
      </rPr>
      <t>Capacity building MSMEs:</t>
    </r>
    <r>
      <rPr>
        <sz val="10"/>
        <color theme="1"/>
        <rFont val="Arial Nova"/>
        <family val="2"/>
      </rPr>
      <t xml:space="preserve"> Provide more mentoring and counselling. The absence of effective role models is cited as a reason that struggling MSMEs often collapse. Banks would be more likely to lend if there were counselling and mentoring services to improve financial management and corporate governance practices. The PDSP recommends establishing a Mentoring and Counselling Facility (within the MICF) to provide support for those MSMEs seeking loans, thus promoting more lending. Success stories should be widely publicised to encourage others to become entrepreneurial, and show that businesses can grow without needing political patronage. 
</t>
    </r>
    <r>
      <rPr>
        <b/>
        <sz val="10"/>
        <color theme="1"/>
        <rFont val="Arial Nova"/>
        <family val="2"/>
      </rPr>
      <t>Early-stage finance:</t>
    </r>
    <r>
      <rPr>
        <sz val="10"/>
        <color theme="1"/>
        <rFont val="Arial Nova"/>
        <family val="2"/>
      </rPr>
      <t xml:space="preserve"> Support an MSME Venture Capital Fund. The Private Sector Development Project is proposing a Venture Capital Fund to satisfy the appetite for longer term capital for small firms (5-20 employees), with 5-7 year loans for capital investments, to enable them to grow to medium-sized firms (20-50 employees). The funds would be awarded to commercial banks after a transparent competitive tender process.
</t>
    </r>
    <r>
      <rPr>
        <b/>
        <sz val="10"/>
        <color theme="1"/>
        <rFont val="Arial Nova"/>
        <family val="2"/>
      </rPr>
      <t xml:space="preserve">Incentives to financial institutions: </t>
    </r>
    <r>
      <rPr>
        <sz val="10"/>
        <color theme="1"/>
        <rFont val="Arial Nova"/>
        <family val="2"/>
      </rPr>
      <t xml:space="preserve">Support a Financial Innovation Challenge Fund. Also proposed in the Private Sector Development Project a FICF would incentivise commercial banks to innovate solutions to proving more loans to MSMEs or reducing the costs of loans. It could finance activities such as banks setting up an MSME department, developing new loan products, better systems and partnerships with international MSME financing specialist institutions, and specialist funds for women, who are often crowded out of traditional lending. </t>
    </r>
  </si>
  <si>
    <t>Malawi Innovation Challenge Fund</t>
  </si>
  <si>
    <t>https://info.undp.org/docs/pdc/Documents/MWI/MALAWI%20MSME%20POLICY%20AND%20STRATEGY%20FINAL%20DRAFT%20AUGUST%202012.pdf</t>
  </si>
  <si>
    <t>Commercial banks, FinTechs, MFIs, Other financial institutions</t>
  </si>
  <si>
    <t>Help absorb some of the commercial risk in triggering innovation, speeding up implementation of new business models and/or technologies that have high social impacts</t>
  </si>
  <si>
    <r>
      <rPr>
        <b/>
        <sz val="10"/>
        <color theme="1"/>
        <rFont val="Arial Nova"/>
        <family val="2"/>
      </rPr>
      <t xml:space="preserve">Incentives to financial institutions: </t>
    </r>
    <r>
      <rPr>
        <sz val="10"/>
        <color theme="1"/>
        <rFont val="Arial Nova"/>
        <family val="2"/>
      </rPr>
      <t>The Malawi Innovation Challenge Fund provides up to a matching grant to innovative business projects. 6 competition rounds so far - one of them: The Malawi Innovation Challenge Fund (MICF), through the Innovative Finance Window will provide matching grant finance to businesses and financial sector institutions to develop innovative products, delivery channels and business models that are able to increase the volume and number of Small and Medium Enterprises (SMEs) receiving formal financing in Malawi</t>
    </r>
  </si>
  <si>
    <t>https://www.micf.mw/challenge-windows/innovative-finance-window</t>
  </si>
  <si>
    <t>Malawi National Export Strategy</t>
  </si>
  <si>
    <t>Ministry of Indudstry and Trade, UNDP</t>
  </si>
  <si>
    <t>Ministry of Indudstry and Trade</t>
  </si>
  <si>
    <t>Capacity building MSMEs, Regulatory environment, Stock market development</t>
  </si>
  <si>
    <t>* Affordable Access to Finance and Secure Tenure of Property</t>
  </si>
  <si>
    <r>
      <rPr>
        <b/>
        <sz val="10"/>
        <color theme="1"/>
        <rFont val="Arial Nova"/>
        <family val="2"/>
      </rPr>
      <t xml:space="preserve">Direct lending: </t>
    </r>
    <r>
      <rPr>
        <sz val="10"/>
        <color theme="1"/>
        <rFont val="Arial Nova"/>
        <family val="2"/>
      </rPr>
      <t xml:space="preserve">The merger of Malawi Rural Development Fund with the Youth Enterprise Development Fund to form the Malawi Rural and Youth Enterprise Development Fund. It is essential to ensure proper governance and to maximise the effectiveness of the fund. There is a need to consider the privatisation of the fund, with effective regulation to ensure its objectives are met in an efficient manner. </t>
    </r>
    <r>
      <rPr>
        <b/>
        <sz val="10"/>
        <color theme="1"/>
        <rFont val="Arial Nova"/>
        <family val="2"/>
      </rPr>
      <t xml:space="preserve">
Capacity building MSMEs:</t>
    </r>
    <r>
      <rPr>
        <sz val="10"/>
        <color theme="1"/>
        <rFont val="Arial Nova"/>
        <family val="2"/>
      </rPr>
      <t xml:space="preserve"> Improving the amount and quality of information available on entrepreneurs through the enhancement of bookkeeping skills and financial literacy, as well as the development of a Credit Reference Bureau and a national identification system. The latter two systems have been initiated but are not yet fully operational, and need management attention to become functional as soon as possible; The completion of the merger of SEDOM, DEMAT and MEDI into the Small and Medium Enterprise Development Institute and the operationalisation of the institution.
</t>
    </r>
    <r>
      <rPr>
        <b/>
        <sz val="10"/>
        <color theme="1"/>
        <rFont val="Arial Nova"/>
        <family val="2"/>
      </rPr>
      <t xml:space="preserve">Regulatory environment: </t>
    </r>
    <r>
      <rPr>
        <sz val="10"/>
        <color theme="1"/>
        <rFont val="Arial Nova"/>
        <family val="2"/>
      </rPr>
      <t>Enhancing creditor rights by improving access to commercial justice for creditors through capacity building at the commercial courts, and through reform of the insolvency regulatory framework.</t>
    </r>
    <r>
      <rPr>
        <b/>
        <sz val="10"/>
        <color theme="1"/>
        <rFont val="Arial Nova"/>
        <family val="2"/>
      </rPr>
      <t xml:space="preserve">
Stock market development: </t>
    </r>
    <r>
      <rPr>
        <sz val="10"/>
        <color theme="1"/>
        <rFont val="Arial Nova"/>
        <family val="2"/>
      </rPr>
      <t xml:space="preserve">Incentivising the growth of the non-bank financial sector and the longer-term sources of finance, particularly the development of the bond market and the development of the stock exchange. This would include investing in regulatory capacity to ensure the Malawi Stock Exchange has an inherent incentive to attract businesses to raise finance through the stock exchange.
</t>
    </r>
    <r>
      <rPr>
        <b/>
        <sz val="10"/>
        <color theme="1"/>
        <rFont val="Arial Nova"/>
        <family val="2"/>
      </rPr>
      <t>Other financial infrastructure components:</t>
    </r>
    <r>
      <rPr>
        <sz val="10"/>
        <color theme="1"/>
        <rFont val="Arial Nova"/>
        <family val="2"/>
      </rPr>
      <t xml:space="preserve"> Ensuring secure tenure of land and other property through operationalisation of the Lands Bill, capacity building at the Department of Lands and the creation of a Moveable Collateral Registry following the passage of a new Secured Transactions law. </t>
    </r>
  </si>
  <si>
    <t>Malawi Enterprise Development Fund</t>
  </si>
  <si>
    <t>http://imanidevelopment.com/wp-content/uploads/2015/06/Malawi-National-Export-Strategy-Main-Document.pdf</t>
  </si>
  <si>
    <t>Ministry of Industry, Trade and Tourism; Ministry of Finaance and Economic Planning; Ministry of Agriculture, Water and Irrigation; Ministry of Labour, Youth, Sports and Manpower Development</t>
  </si>
  <si>
    <t>* To assist Malawians to set up small business ventures which will uplift their well- being by providing them with affordable loans and sustainable technical, entrepreneur, financial and management skills.
* To provide financial assistance in the form of loan capital to micro and small-scale enterprises in urban and rural areas in Malawi.
* To address challenges facing the youth in Malawi by providing them with knowledge, essential skills, competences and opportunities to engage in micro, small and medium enterprises as a self-employment mechanism.
* To provide the youth with sustainable artisan, technical, entrepreneurial, financial and business management skills that will promote business ingenuity as well as sufficiently prepare them to operate business venture in an effective and efficient manner towards achieving continuity, growth and profitable.</t>
  </si>
  <si>
    <r>
      <rPr>
        <b/>
        <sz val="10"/>
        <color theme="1"/>
        <rFont val="Arial Nova"/>
        <family val="2"/>
      </rPr>
      <t xml:space="preserve">Direct lending: 
* </t>
    </r>
    <r>
      <rPr>
        <sz val="10"/>
        <color theme="1"/>
        <rFont val="Arial Nova"/>
        <family val="2"/>
      </rPr>
      <t>Business loan with a maximum repayment period of 12 months, loan amounts depend on client requirements, registration and ID are required.
* Agribusiness/fertiliser loan: assist clients to acquire fertiliser on loan, maxium repayment period i2 6 to 9 months, ID needed; Women and Youth Loan Program.</t>
    </r>
  </si>
  <si>
    <t>Funded more than 200 businesses</t>
  </si>
  <si>
    <t>More than 400 satisfied clients, more than 1000 jobs created</t>
  </si>
  <si>
    <t>www.medf.mw/about/</t>
  </si>
  <si>
    <t>Small and Medium Enterprise Development Institute</t>
  </si>
  <si>
    <t xml:space="preserve">Ministry of Industry and Trade </t>
  </si>
  <si>
    <t>* Champion the development of micro, small and medium enterprises in Malawi.</t>
  </si>
  <si>
    <r>
      <rPr>
        <b/>
        <sz val="10"/>
        <color theme="1"/>
        <rFont val="Arial Nova"/>
        <family val="2"/>
      </rPr>
      <t>Capacity building MSMEs:
*</t>
    </r>
    <r>
      <rPr>
        <sz val="10"/>
        <color theme="1"/>
        <rFont val="Arial Nova"/>
        <family val="2"/>
      </rPr>
      <t xml:space="preserve"> Identifying potential service providers to close the gaps in MSMEs training and collaborate with them to offer required training program.
* Conducting training programs to trainers of prospective entrepreneurs and start-ups. 
* Assessing training requirements of MSMEs in relation to current offerings by service providers. 
* Accrediting training providers prior to qualifying for listing in the MSMEs business network directory or being recommended as an official trainer.
</t>
    </r>
    <r>
      <rPr>
        <b/>
        <sz val="10"/>
        <color theme="1"/>
        <rFont val="Arial Nova"/>
        <family val="2"/>
      </rPr>
      <t xml:space="preserve">Constraint/landscape assessment: </t>
    </r>
    <r>
      <rPr>
        <sz val="10"/>
        <color theme="1"/>
        <rFont val="Arial Nova"/>
        <family val="2"/>
      </rPr>
      <t>Carrying out formal assessments of MSMEs financial need, carrying out surveys on particular topics to MSMEs, proactively plan and carry out assessment needs and data collection for different industries.</t>
    </r>
  </si>
  <si>
    <t>http://www.smedi.org.mw/index.php/about-us</t>
  </si>
  <si>
    <t>Financial Inclusion and Entrepreneurship Scaling Project</t>
  </si>
  <si>
    <t xml:space="preserve"> Ministry of Finance, Economic Planning and Development, World Bank</t>
  </si>
  <si>
    <t>Ministry of Finance, Economic Planning and Development, Ministry of Industry and Trade, Reserve Bank of Malawi</t>
  </si>
  <si>
    <t>Credit guarantee, Enabling infrastructure, Equity investment or incentives</t>
  </si>
  <si>
    <t>Capacity building MSMEs, Credit information system, Collateral registry, Payment system infrastructure, Regulatory environment, Stock market development</t>
  </si>
  <si>
    <t>Start ups, Women, Youth</t>
  </si>
  <si>
    <t>Agriculture, Energy, Digital Economy, Trade</t>
  </si>
  <si>
    <t>Commercial banks, MFIs, Community groups, Training institutions</t>
  </si>
  <si>
    <t>* Liquidity Enhancement for MSMEs. 
* Scaling entrepreneurship and building Firm capabilities.
* Enhancing the enabling environment for supporting the financial inclusion and growth
of entrepreneurs.</t>
  </si>
  <si>
    <r>
      <t xml:space="preserve">Credit guarantee: </t>
    </r>
    <r>
      <rPr>
        <sz val="10"/>
        <color theme="1"/>
        <rFont val="Arial Nova"/>
        <family val="2"/>
      </rPr>
      <t>The credit line will be extended through the RBM to commercial banks, microfinance institutions, and SACCOs (referred to as the project’s participating financial intermediaries, or PFIs), that meet eligibility criteria for on-lending to MSME.</t>
    </r>
    <r>
      <rPr>
        <b/>
        <sz val="10"/>
        <color theme="1"/>
        <rFont val="Arial Nova"/>
        <family val="2"/>
      </rPr>
      <t xml:space="preserve">
Equity investment or incentvies: </t>
    </r>
    <r>
      <rPr>
        <sz val="10"/>
        <color theme="1"/>
        <rFont val="Arial Nova"/>
        <family val="2"/>
      </rPr>
      <t>Equity and quasi equity financing for innovative start-ups and SMEs.</t>
    </r>
    <r>
      <rPr>
        <b/>
        <sz val="10"/>
        <color theme="1"/>
        <rFont val="Arial Nova"/>
        <family val="2"/>
      </rPr>
      <t xml:space="preserve">
Capacity building financial institutions: </t>
    </r>
    <r>
      <rPr>
        <sz val="10"/>
        <color theme="1"/>
        <rFont val="Arial Nova"/>
        <family val="2"/>
      </rPr>
      <t>Technical assistance will be provided to the RBM to complement and reinforce project implementation of the credit line; and to the PFIs to strengthen capacity to serve MSMEs to manage emerging risks such as the corona virus, and to adopt fintech approaches in order to sustain improvements beyond the period of the life of the project.</t>
    </r>
    <r>
      <rPr>
        <b/>
        <sz val="10"/>
        <color theme="1"/>
        <rFont val="Arial Nova"/>
        <family val="2"/>
      </rPr>
      <t xml:space="preserve">
Capacity building MSMEs: </t>
    </r>
    <r>
      <rPr>
        <sz val="10"/>
        <color theme="1"/>
        <rFont val="Arial Nova"/>
        <family val="2"/>
      </rPr>
      <t>It will also support financial literacy programs as a way of improving capability of the MSMEs to formalize their enterprises, be eligible to access finance and be able to grow; aim at fostering a savings culture, developing and implementing financial literacy awareness and consumer protection programs, and promoting the use of the DFS for MSME owners, particularly for women and young entrepreneurs. This subcomponent will also support the improvement of financial literacy of future entrepreneurs and hence support the broader integration of financial education initiatives at the primary school level.</t>
    </r>
    <r>
      <rPr>
        <b/>
        <sz val="10"/>
        <color theme="1"/>
        <rFont val="Arial Nova"/>
        <family val="2"/>
      </rPr>
      <t xml:space="preserve">
Credit information system: </t>
    </r>
    <r>
      <rPr>
        <sz val="10"/>
        <color theme="1"/>
        <rFont val="Arial Nova"/>
        <family val="2"/>
      </rPr>
      <t>Support improvement of the credit reference system with the aim of developing credible credit scoring for the financial sector.</t>
    </r>
    <r>
      <rPr>
        <b/>
        <sz val="10"/>
        <color theme="1"/>
        <rFont val="Arial Nova"/>
        <family val="2"/>
      </rPr>
      <t xml:space="preserve">
Payment system infrastructure: </t>
    </r>
    <r>
      <rPr>
        <sz val="10"/>
        <color theme="1"/>
        <rFont val="Arial Nova"/>
        <family val="2"/>
      </rPr>
      <t>Funds will be made available tofacilitate increasing the volume of MSMEs that would be connected to the DFS technology through the national payments system, to facilitate PFIs (Participating financial intermediaries)to innovate and develop financial products that are suitable for MSMEs, and to reduce the cost of borrowing by reducing perception of risk by the PFIs.</t>
    </r>
    <r>
      <rPr>
        <b/>
        <sz val="10"/>
        <color theme="1"/>
        <rFont val="Arial Nova"/>
        <family val="2"/>
      </rPr>
      <t xml:space="preserve">
Stock market development: </t>
    </r>
    <r>
      <rPr>
        <sz val="10"/>
        <color theme="1"/>
        <rFont val="Arial Nova"/>
        <family val="2"/>
      </rPr>
      <t>The subcomponent will also provide support for the improvement of the functionality of central securities depository (CSD) for the stock exchange to facilitate participation of small private sector players on the exchange.</t>
    </r>
    <r>
      <rPr>
        <b/>
        <sz val="10"/>
        <color theme="1"/>
        <rFont val="Arial Nova"/>
        <family val="2"/>
      </rPr>
      <t xml:space="preserve">
Collateral registry: </t>
    </r>
    <r>
      <rPr>
        <sz val="10"/>
        <color theme="1"/>
        <rFont val="Arial Nova"/>
        <family val="2"/>
      </rPr>
      <t>Support use of the collateral registry systems to encourage adoption of movable and other assets as collateral by MSMEs. To encourage formalization, the project will collaborate with the Agriculture Commercialization (AGCOM) project (P158434) which is financing the development of a modern business registration system. The subcomponent will support the integration of ‘national identities’ into the financial sector through a TA to the National Registration Bureau for the credibility of information being used across financial sector platforms.</t>
    </r>
    <r>
      <rPr>
        <b/>
        <sz val="10"/>
        <color theme="1"/>
        <rFont val="Arial Nova"/>
        <family val="2"/>
      </rPr>
      <t xml:space="preserve">
Regulatory environment: </t>
    </r>
    <r>
      <rPr>
        <sz val="10"/>
        <color theme="1"/>
        <rFont val="Arial Nova"/>
        <family val="2"/>
      </rPr>
      <t>TA and capacity building will be provided to the MoFEPD to review and/or develop suitable regulatory and policy frameworks to facilitate financial inclusion, and entrepreneurship, and help foster new DFS innovations, mortgage finance, leasing and long-term finance, and safety nets.</t>
    </r>
  </si>
  <si>
    <t xml:space="preserve">*Volume of MSMEs loans provided by the PFIs through the line of credit
* Ratio of loans from PFIs to women-owned6 MSMEs (%) (Percentage)
•*Volume of funds financed by MAIIC for innovative start-ups and early-stage SMEs
*Ratio of which are women-owned enterprises (%) (Percentage)
*Volume loans to MSMEs financed from the Covid-19 emergency liquidity facility
*Number of new firms established through the project support to incubators, and accelerators
*Ratio of which are women-owned (%) (Percentage)
*Number of MSMEs reporting improvement in capabilities
*Ratio of which are women-owned MSMEs (%) (Percentage) </t>
  </si>
  <si>
    <t>Micro: 1 to 4 employees; annual turnover of up to and an asset value of up to US$1,370.
Small: 5 to 20 employees, annual turnover of between US$6,849 and US$68,849 and maximum assets value of US$27,397
Medium: 21 to 99 employees, annual turnover of between US$68,849 and US$136,986 and maximum asset value of US$342,466</t>
  </si>
  <si>
    <t>http://documents1.worldbank.org/curated/en/604841589281422920/pdf/Project-Information-Document-Financial-Inclusion-and-Entrepreneurship-Scaling-Project-P168577.pdf; http://documents1.worldbank.org/curated/en/205691596821965142/pdf/Malawi-Financial-Inclusion-and-Entrepreneurship-Scaling-Project.pdf</t>
  </si>
  <si>
    <t>Financial Access for Rural Markets, Smallholders and Enterprise Programme</t>
  </si>
  <si>
    <t xml:space="preserve">IFAD, Ministry of Finance, Economic, Planning and Development </t>
  </si>
  <si>
    <t>Multiple agencies</t>
  </si>
  <si>
    <t>* To increase access to, and use of, a range of sustainable financial services by rural households and micro, small, and medium enterprises.</t>
  </si>
  <si>
    <r>
      <t xml:space="preserve">Capcity building financial institutions: </t>
    </r>
    <r>
      <rPr>
        <sz val="10"/>
        <color theme="1"/>
        <rFont val="Arial Nova"/>
        <family val="2"/>
      </rPr>
      <t>Provision of support to Financial Service Providers (FSPs) to develop demand driven simple to use, low transaction cost savings and loan products, highly suitable for low income rural households; support to community based financial organizations.</t>
    </r>
    <r>
      <rPr>
        <b/>
        <sz val="10"/>
        <color theme="1"/>
        <rFont val="Arial Nova"/>
        <family val="2"/>
      </rPr>
      <t xml:space="preserve">
Capacity building MSMEs:</t>
    </r>
    <r>
      <rPr>
        <sz val="10"/>
        <color theme="1"/>
        <rFont val="Arial Nova"/>
        <family val="2"/>
      </rPr>
      <t xml:space="preserve"> Intensified capacity building on financial literacy and financial education and Train program participants on business and enterprise specific skills (Example from one of their projects).</t>
    </r>
  </si>
  <si>
    <t>Numerical targets depend on the different projects</t>
  </si>
  <si>
    <t>https://www.farmsemalawi.org/about-us/</t>
  </si>
  <si>
    <t>Private sector Development Program</t>
  </si>
  <si>
    <t>January 2019</t>
  </si>
  <si>
    <t>IFAD and Danish Embassy in Bamak</t>
  </si>
  <si>
    <t>Ministry of Agriculture and steering committee</t>
  </si>
  <si>
    <t>* Strengthen inclusive economic growth stimulated by the private sector to increase income and create jobs/self-employment.</t>
  </si>
  <si>
    <r>
      <rPr>
        <b/>
        <sz val="10"/>
        <color theme="1"/>
        <rFont val="Arial Nova"/>
        <family val="2"/>
      </rPr>
      <t xml:space="preserve">Capacity building MSMEs: </t>
    </r>
    <r>
      <rPr>
        <sz val="10"/>
        <color theme="1"/>
        <rFont val="Arial Nova"/>
        <family val="2"/>
      </rPr>
      <t xml:space="preserve">Providing advisory services to SMEs and other actors in the chain to identify, set up and monitor partnerships.
</t>
    </r>
    <r>
      <rPr>
        <b/>
        <sz val="10"/>
        <color theme="1"/>
        <rFont val="Arial Nova"/>
        <family val="2"/>
      </rPr>
      <t xml:space="preserve">Grants and subsidies: </t>
    </r>
    <r>
      <rPr>
        <sz val="10"/>
        <color theme="1"/>
        <rFont val="Arial Nova"/>
        <family val="2"/>
      </rPr>
      <t xml:space="preserve">Grants to develop business plans for partnerships developed around a private sector along a value chain.
</t>
    </r>
    <r>
      <rPr>
        <b/>
        <sz val="10"/>
        <color theme="1"/>
        <rFont val="Arial Nova"/>
        <family val="2"/>
      </rPr>
      <t xml:space="preserve">Other: </t>
    </r>
    <r>
      <rPr>
        <sz val="10"/>
        <color theme="1"/>
        <rFont val="Arial Nova"/>
        <family val="2"/>
      </rPr>
      <t>Playing a facilitator/broker role in matching providers with SME's. More specifically, linking actors in the value chain to financial institutions and strengthen
these institutions (capacity development, modernization / digitization, refinancing and / or development of a guarantee mechanism).</t>
    </r>
  </si>
  <si>
    <t>• 200,000 people benefit from better access to services in rural areas by 2022
• 48 business plans benefiting 40 SMEs and 108 organizations producers have been developed and financed
 • 40,800 small producers and SMEs have made investments green
• 1,100 businesses were created by young entrepreneurs and 330 existing companies have been strengthened
• The business environment for SMEs has improved, organizations private sector have been strengthened and the Agency for the Promotion of investments (API) facilitated its investments totaling US $ 50 million</t>
  </si>
  <si>
    <t>https://mali.um.dk/~/media/mali/documents/content%20french/pdsp%20mali%20version%20francaise.pdf?la=fr</t>
  </si>
  <si>
    <t>PACEPEP (Programme d'Appui à la Croissance Économique et Promotion de l'Emploi stimulées par le Secteur Privé du Mali)</t>
  </si>
  <si>
    <t>Danish Embassy in Bamak</t>
  </si>
  <si>
    <t>Ministry of Agriculture, National Council of Malian Employers (CNPM)</t>
  </si>
  <si>
    <t>* Creating sustainable economic growth and more employment.</t>
  </si>
  <si>
    <r>
      <rPr>
        <b/>
        <sz val="10"/>
        <color theme="1"/>
        <rFont val="Arial Nova"/>
        <family val="2"/>
      </rPr>
      <t xml:space="preserve">Direct lending: </t>
    </r>
    <r>
      <rPr>
        <sz val="10"/>
        <color theme="1"/>
        <rFont val="Arial Nova"/>
        <family val="2"/>
      </rPr>
      <t>The private sector advisory and that led to co-financing being provided to SME's in agri-business.</t>
    </r>
  </si>
  <si>
    <t>Creation of 12,000 jobs and support to around 700 new private entrepreneurs intervening in four selected value chains (poultry/maize; livestock/meat/dairy products; fruits and vegetables; craft).</t>
  </si>
  <si>
    <t>ORDER N ° 2014- 1761 / MDR-SG OF 2 JULY</t>
  </si>
  <si>
    <t>Sustainable Development Goals number 8 – more specifically SDG number 8.3 promoting ‘development-oriented policies that support productive activities, decent job creation, entrepreneurship, creativity and innovation, and encourage formalization and growth of micro-, small- and medium-sized enterprises including through access to financial services’.</t>
  </si>
  <si>
    <t>382 SME's provided with access to finance</t>
  </si>
  <si>
    <t>https://www.niras.com/development-consulting/projects/pacepep-mali/</t>
  </si>
  <si>
    <t>Stratégie pour le développement du secteur industriel en Mauritanie : 2015-2019</t>
  </si>
  <si>
    <t>15 April 2015</t>
  </si>
  <si>
    <t>National Industry Council</t>
  </si>
  <si>
    <t>* To gradually increase the contribution ofindustrial sector to GDP</t>
  </si>
  <si>
    <r>
      <rPr>
        <b/>
        <sz val="10"/>
        <color theme="1"/>
        <rFont val="Arial Nova"/>
        <family val="2"/>
      </rPr>
      <t xml:space="preserve">Regulatory environment:
* </t>
    </r>
    <r>
      <rPr>
        <sz val="10"/>
        <color theme="1"/>
        <rFont val="Arial Nova"/>
        <family val="2"/>
      </rPr>
      <t>Develop and promulgate a charter for small and medium-sized industries setting the framework legal and institutional policy that the public authorities intend to implement works to promote them and help them overcome the obstacles that hinder their development. 
* Facilitate access to finance for SMEs through the establishment of a framework regulatory and incentive for the development of risk capital, the creation of mutual guarantee and surety funds, the creation of collective funds and of capital investment companies as well as the constitution of mutual and cooperative credit.</t>
    </r>
  </si>
  <si>
    <t xml:space="preserve">http://extwprlegs1.fao.org/docs/pdf/Mau169999.pdf </t>
  </si>
  <si>
    <t>Projet d’Appui a la Promotion de Micro Petites et Moyennes Entreprises, et a l’Emploi des Jeunes (PAMPEJ)</t>
  </si>
  <si>
    <t>Ministry of Employment, Vocational Training and Information and Communication Techniques</t>
  </si>
  <si>
    <t>* To contribute to reducing poverty in Mauritania through the promotion of MSEs, the entrepreneurship of women and young people and the creation of jobs in Mauritania.</t>
  </si>
  <si>
    <r>
      <rPr>
        <b/>
        <sz val="10"/>
        <color theme="1"/>
        <rFont val="Arial Nova"/>
        <family val="2"/>
      </rPr>
      <t>Capacity building MSMEs</t>
    </r>
    <r>
      <rPr>
        <sz val="10"/>
        <color theme="1"/>
        <rFont val="Arial Nova"/>
        <family val="2"/>
      </rPr>
      <t xml:space="preserve">: Support for entrepreneurship and job creation: This component aims to promote MSEs that are sustainably profitable.
</t>
    </r>
    <r>
      <rPr>
        <b/>
        <sz val="10"/>
        <color theme="1"/>
        <rFont val="Arial Nova"/>
        <family val="2"/>
      </rPr>
      <t>Direct lending</t>
    </r>
    <r>
      <rPr>
        <sz val="10"/>
        <color theme="1"/>
        <rFont val="Arial Nova"/>
        <family val="2"/>
      </rPr>
      <t>: Operationalization of the Refinancing Fund (FOREMI) and support to MFIs: The objective of this component is to ensure a sustainable offer of inclusive financial services.</t>
    </r>
  </si>
  <si>
    <t xml:space="preserve">http://cpmpss.gov.mr/IMG/docx/AGPM_PAMPEF_corrige_et_a_publier.docx </t>
  </si>
  <si>
    <t>Caisse des Dépôts et de Développement</t>
  </si>
  <si>
    <t>Court of Auditors and Parliament.</t>
  </si>
  <si>
    <t>Credit guarantee, Direct lending, Equity investment or incentives, Enabling infrastructure</t>
  </si>
  <si>
    <t>Capacity building financial institution, Other</t>
  </si>
  <si>
    <t>* Financial actor that makes short, medium and long term investments. Its action covers a fairly wide field ranging from the financing of Very Small Enterprises (VSEs) to support for sectoral policies followed by the Government in several areas including agriculture, housing, industry, services and the development of financial sector.</t>
  </si>
  <si>
    <r>
      <rPr>
        <b/>
        <sz val="10"/>
        <color theme="1"/>
        <rFont val="Arial Nova"/>
        <family val="2"/>
      </rPr>
      <t>Direct lending:</t>
    </r>
    <r>
      <rPr>
        <sz val="10"/>
        <color theme="1"/>
        <rFont val="Arial Nova"/>
        <family val="2"/>
      </rPr>
      <t xml:space="preserve">
*  2.50 billion MRO lending for the benefit of Small and Medium Enterprises. The funding thus granted covers various activity sectors including industry, tourism, fishing, agriculture, commerce and services.
* Receive funds from the public including institutions and public establishments;
* Borrow on the markets and take risk hedging measures;
*</t>
    </r>
    <r>
      <rPr>
        <b/>
        <sz val="10"/>
        <color theme="1"/>
        <rFont val="Arial Nova"/>
        <family val="2"/>
      </rPr>
      <t xml:space="preserve"> </t>
    </r>
    <r>
      <rPr>
        <sz val="10"/>
        <color theme="1"/>
        <rFont val="Arial Nova"/>
        <family val="2"/>
      </rPr>
      <t>Manage customer deposits; Grant loans and develop microcredit in particular in sectors not covered by public or private organizations;</t>
    </r>
  </si>
  <si>
    <t>Fonds de Refinancement des Institutions de Microfinance</t>
  </si>
  <si>
    <t>The CDD now has more than 130 permanent employees spread over 13 agencies and representations in the country. As of 12.31.2015, it reached a balance sheet total of 94 billion.</t>
  </si>
  <si>
    <t xml:space="preserve">http://www.cdd.gov.mr/fr </t>
  </si>
  <si>
    <t>Crédit Agricole de Mauritanie (CAM)</t>
  </si>
  <si>
    <t>29 May 2019</t>
  </si>
  <si>
    <t>* To finance agriculture.</t>
  </si>
  <si>
    <r>
      <rPr>
        <b/>
        <sz val="10"/>
        <color theme="1"/>
        <rFont val="Arial Nova"/>
        <family val="2"/>
      </rPr>
      <t xml:space="preserve">Direct lending: </t>
    </r>
    <r>
      <rPr>
        <sz val="10"/>
        <color theme="1"/>
        <rFont val="Arial Nova"/>
        <family val="2"/>
      </rPr>
      <t xml:space="preserve">
* Short term credit: Financing of agricultural inputs; cash requirements; marketing financing.
* Medium-term credit: Acquisition and repair of irrigation equipment;  acquisition of agricultural equipment (Tractors and combine harvesters).
* Long term credit: Rehabilitation; financing of factories.</t>
    </r>
  </si>
  <si>
    <t>During the year 2017, the CAM financed, 174 files for an envelope of 744 million MRO, which allowed the development of more than 4,900 ha. The table below shows the breakdown of this financing by type of client and area of ​​intervention.</t>
  </si>
  <si>
    <t xml:space="preserve">http://www.cdd.gov.mr/fr/credit-agricole-rim </t>
  </si>
  <si>
    <t>COVID-19 Crisis Response Support Programme</t>
  </si>
  <si>
    <t>Ministry of Finance, Economic Planning
and Development</t>
  </si>
  <si>
    <t>Credit guarantee, Grants and subsidies</t>
  </si>
  <si>
    <t>Adversely affected businesses by the COVID-19 crisis, Women, Micro enterprises, Rural livelihoods</t>
  </si>
  <si>
    <t>Agriculture, Health care, Manufacturing , Trade, Tourism</t>
  </si>
  <si>
    <t>* To strengthen health systems.
* To protect livelihoods, income security, and access to essential goods and services.
* To build a resilient private sector for economic recovery. The main outcomes of the program are: improvement in preparedness and response to crisis; support the vulnerable groups and the informal sector by financing social protection schemes; as well as minimizing job losses by boosting the resilience of MSMEs to withstand the COVID-19 crisis and prepare for economic
recovery.</t>
  </si>
  <si>
    <r>
      <rPr>
        <b/>
        <sz val="10"/>
        <color theme="1"/>
        <rFont val="Arial Nova"/>
        <family val="2"/>
      </rPr>
      <t xml:space="preserve">Credit guarantee: </t>
    </r>
    <r>
      <rPr>
        <sz val="10"/>
        <color theme="1"/>
        <rFont val="Arial Nova"/>
        <family val="2"/>
      </rPr>
      <t xml:space="preserve">Special Foreign Currency (USD) Line of Credit of USD300 million.
</t>
    </r>
    <r>
      <rPr>
        <b/>
        <sz val="10"/>
        <color theme="1"/>
        <rFont val="Arial Nova"/>
        <family val="2"/>
      </rPr>
      <t>Grants and subsidies:</t>
    </r>
    <r>
      <rPr>
        <sz val="10"/>
        <color theme="1"/>
        <rFont val="Arial Nova"/>
        <family val="2"/>
      </rPr>
      <t xml:space="preserve">
* The Government of Mauritius announced a Rs. 35.9 billion social protection plan in
response to COVID-19
* Self-Employed (non-salaried) Assistance Scheme (SEAS): Through MRA self-employed
Mauritians that have suffered revenue loss because of the lockdown, including those in business or tradesperson operating in the informal sector. The SEAS will benefit some 195,000 people, and cost Rs. 1 billion.</t>
    </r>
  </si>
  <si>
    <t>Public Procurement Act 2006</t>
  </si>
  <si>
    <t>https://www.afdb.org/en/documents/mauritius-covid-19-crisis-response-budget-support-programme-appraisal-report</t>
  </si>
  <si>
    <t>10 - Year Master Plan for the SME Sector</t>
  </si>
  <si>
    <t>Minister of Business, Enterprise and Cooperatives</t>
  </si>
  <si>
    <t>Early-stage finance, Enabling infrastructure, Grants and subsidies</t>
  </si>
  <si>
    <t xml:space="preserve">Micro enterprises, Start ups, Women, Youth </t>
  </si>
  <si>
    <t xml:space="preserve">Agriculture, Manufacturing </t>
  </si>
  <si>
    <t xml:space="preserve">MFIs, NGOs, Commercial banks, Other financial institutions </t>
  </si>
  <si>
    <t>* Improve SME competitiveness and growth by transforming SMEs into agile players with improved productivity, better quality products and resiliency to compete in the global economy.
* Foster high growth potential SMEs by nurturing start-ups, fostering entrepreneurship, supporting knowledge-based activities and disruptive (innovators) SMEs.
* Upgrade skills and job opportunities by supporting SMEs to address skill mismatch and upgrade human capital to respond to new market demands.
* Improve design and value addition by supporting SMEs in research and development, innovation and brand identity to move into niche markets.
* Increase market access and exports by providing SMEs with intelligence, market development
supports and logistics to integrate the global supply chain.</t>
  </si>
  <si>
    <r>
      <rPr>
        <b/>
        <sz val="10"/>
        <color theme="1"/>
        <rFont val="Arial Nova"/>
        <family val="2"/>
      </rPr>
      <t xml:space="preserve">Capacity building MSMEs: </t>
    </r>
    <r>
      <rPr>
        <sz val="10"/>
        <color theme="1"/>
        <rFont val="Arial Nova"/>
        <family val="2"/>
      </rPr>
      <t xml:space="preserve">Improve SME Financial Literacy. Enhance SMEs’ financial literacy and awareness of financial resources and support programmes available to them.
</t>
    </r>
    <r>
      <rPr>
        <b/>
        <sz val="10"/>
        <color theme="1"/>
        <rFont val="Arial Nova"/>
        <family val="2"/>
      </rPr>
      <t xml:space="preserve">Early-stage finance: </t>
    </r>
    <r>
      <rPr>
        <sz val="10"/>
        <color theme="1"/>
        <rFont val="Arial Nova"/>
        <family val="2"/>
      </rPr>
      <t xml:space="preserve">Early Stage Start-ups - Co-financing 90% of the venture up to $25,000 with a self-contribution of 10%.
</t>
    </r>
    <r>
      <rPr>
        <b/>
        <sz val="10"/>
        <color theme="1"/>
        <rFont val="Arial Nova"/>
        <family val="2"/>
      </rPr>
      <t xml:space="preserve">Grants and subsidies:
</t>
    </r>
    <r>
      <rPr>
        <sz val="10"/>
        <color theme="1"/>
        <rFont val="Arial Nova"/>
        <family val="2"/>
      </rPr>
      <t>* Set up a matching grant/loan scheme for SMEs to provide funding to:
i) Provide 50/50 matching grant for early stage innovative start-ups
(up to MUR 150,000).
ii)Provide 60/40 matching grant for 1 to 3 years high growth potential SMEs (up to MUR 500,000).
iii) Provide bridging loans (up to MUR 2.5 million) to enable mature SMEs to upgrade their technologies with added process efficiency while penetrating export market.</t>
    </r>
    <r>
      <rPr>
        <b/>
        <sz val="10"/>
        <color theme="1"/>
        <rFont val="Arial Nova"/>
        <family val="2"/>
      </rPr>
      <t xml:space="preserve">
Regulatory environment: </t>
    </r>
    <r>
      <rPr>
        <sz val="10"/>
        <color theme="1"/>
        <rFont val="Arial Nova"/>
        <family val="2"/>
      </rPr>
      <t>Amend the Banking Act 2004 and the Securities Act 2005 to regularise Crowdfunding and Angel investors.</t>
    </r>
  </si>
  <si>
    <t xml:space="preserve">i) Raising SMEs’ contribution to GDP, currently from 40%, to 52% by 2026;
ii) Raising SMEs’ share of total national employment from 55% to 64%;
iii) SME GDP Contribution from 40% to 52% with average overall GDP growth of 5% and 8% for the SME sector 
iv) Share of Employment from 55% to 64%
v) Exports (Products &amp; Services) Less than 3% to 18%
vi) Value Addition (MUR) from 175 Billion to
388 Billion </t>
  </si>
  <si>
    <t xml:space="preserve">Micro: 1 to 5 Employees; not more than 2 million MUR turnover; not more than 2 million MUR Total assests 
Small: 6 to 20 Employees; more than 2 million but not more than 10 million MUR turnover; more than 2 million but not more than 20 million MUR Total assests
Medium: 21 to 100 Employees; more than 10 million but not more than 50 million MUR turnover; more than 20 million but not more than 50 million Total assets </t>
  </si>
  <si>
    <t>https://www.mcci.org/media/154352/sme-master-plan1.pdf</t>
  </si>
  <si>
    <t>Mauritius Business Growth Scheme (MBGS)</t>
  </si>
  <si>
    <t xml:space="preserve">World Bank </t>
  </si>
  <si>
    <t>Ministry of Business, Enterprise and Cooperatives</t>
  </si>
  <si>
    <t>Early-stage finance, Grants and subsidies</t>
  </si>
  <si>
    <r>
      <rPr>
        <b/>
        <sz val="10"/>
        <color theme="1"/>
        <rFont val="Arial Nova"/>
        <family val="2"/>
      </rPr>
      <t>Early-stage finance:</t>
    </r>
    <r>
      <rPr>
        <sz val="10"/>
        <color theme="1"/>
        <rFont val="Arial Nova"/>
        <family val="2"/>
      </rPr>
      <t xml:space="preserve"> Pay a basic monthly salary replacement allowance of Rs 20,000 to creative entrepreneurs to jump start an innovating company up to a maximum of 12 months
</t>
    </r>
    <r>
      <rPr>
        <b/>
        <sz val="10"/>
        <color theme="1"/>
        <rFont val="Arial Nova"/>
        <family val="2"/>
      </rPr>
      <t>Grants and subsidies:</t>
    </r>
    <r>
      <rPr>
        <sz val="10"/>
        <color theme="1"/>
        <rFont val="Arial Nova"/>
        <family val="2"/>
      </rPr>
      <t xml:space="preserve"> Grant Scheme, with assistance on a cost sharing basis in the ratio of 50:50, along with free mentoring/business coaching. This grant is non-refundable.</t>
    </r>
  </si>
  <si>
    <t>http://download.govmu.org/files/2016/18_Ministry%20of%20Business,%20Enterprise%20and%20Cooperatives.docx</t>
  </si>
  <si>
    <t>COVID-19 ‘Plan de Soutien’ Cell</t>
  </si>
  <si>
    <t>State Investment Corporation Limited (SIC) , Investment Support Programme Limited (ISP), SME Equity Fund Ltd (SEF), Development Bank of Mauritius Ltd</t>
  </si>
  <si>
    <t>Interest rate, SME finance</t>
  </si>
  <si>
    <t>* To support enterprises affected by COVID 19.</t>
  </si>
  <si>
    <r>
      <rPr>
        <b/>
        <sz val="10"/>
        <color theme="1"/>
        <rFont val="Arial Nova"/>
        <family val="2"/>
      </rPr>
      <t>Direct lending</t>
    </r>
    <r>
      <rPr>
        <sz val="10"/>
        <color theme="1"/>
        <rFont val="Arial Nova"/>
        <family val="2"/>
      </rPr>
      <t xml:space="preserve">:
* Facilities under Revolving Credit Fund- Working Capital facility up to a maximum of Rs 1M; Maximum Repayment period of 2 years
* Interest free if repaid within 9 months, interest rate of 6% annually thereafter.
</t>
    </r>
    <r>
      <rPr>
        <b/>
        <sz val="10"/>
        <color theme="1"/>
        <rFont val="Arial Nova"/>
        <family val="2"/>
      </rPr>
      <t xml:space="preserve">Grants and subsidies: </t>
    </r>
    <r>
      <rPr>
        <sz val="10"/>
        <color theme="1"/>
        <rFont val="Arial Nova"/>
        <family val="2"/>
      </rPr>
      <t>Enterprise Modernisation Scheme (EMS) - Reduced Interest Rate of 2.5%; Grant of 15% up to a maximum of Rs 150,000.</t>
    </r>
  </si>
  <si>
    <t>Micro, Small and Medium: Annual turnover of up to Rs 10M</t>
  </si>
  <si>
    <t>http://www.dbm.mu/wp-content/uploads/2020/03/Press_advert.pdf</t>
  </si>
  <si>
    <t>SME Financing Scheme</t>
  </si>
  <si>
    <t xml:space="preserve">Development Bank of Mauritius </t>
  </si>
  <si>
    <t>Development Bank of Mauritius</t>
  </si>
  <si>
    <t xml:space="preserve">Micro enterprises </t>
  </si>
  <si>
    <r>
      <rPr>
        <b/>
        <sz val="10"/>
        <color theme="1"/>
        <rFont val="Arial Nova"/>
        <family val="2"/>
      </rPr>
      <t xml:space="preserve">Direct lending: </t>
    </r>
    <r>
      <rPr>
        <sz val="10"/>
        <color theme="1"/>
        <rFont val="Arial Nova"/>
        <family val="2"/>
      </rPr>
      <t>75% cost of project up to a ceiling of Rs 3M.</t>
    </r>
  </si>
  <si>
    <t>http://www.dbm.mu/sme-financing-scheme/</t>
  </si>
  <si>
    <t>Second Capital Market Development and Small and Medium-size
Enterprise Finance Development Policy Loan</t>
  </si>
  <si>
    <t>Government of Morocco</t>
  </si>
  <si>
    <t>Ministry of Economy and Finance, Bank Al-Maghrib (central bank)</t>
  </si>
  <si>
    <t>Capacity building financial institutions, Credit information system, Payment system infrastructure, Collateral registry</t>
  </si>
  <si>
    <t>Micro enterprises, Women, Youth</t>
  </si>
  <si>
    <t>Financial sector, Manufacturing, Trade</t>
  </si>
  <si>
    <t>The program development objectives of this DPL are to:
* Improve access to finance for small and young enterprises.
* Strengthen capital markets by improving the institutional framework and broadening the range of instruments.
* Improve the financial sustainability of the Caisse Marocaine des Retraites.
* Strengthen oversight of the banking sector.</t>
  </si>
  <si>
    <r>
      <rPr>
        <b/>
        <sz val="10"/>
        <color theme="1"/>
        <rFont val="Arial Nova"/>
        <family val="2"/>
      </rPr>
      <t xml:space="preserve">Credit guarantee: </t>
    </r>
    <r>
      <rPr>
        <sz val="10"/>
        <color theme="1"/>
        <rFont val="Arial Nova"/>
        <family val="2"/>
      </rPr>
      <t xml:space="preserve">Government to incentivize banks to lend to MSMEs and move down-market by means of guarantees and co-investments by the Credit Guarantee Fund (Caisse Centrale de Garantie—CCG). The CCG boosted its guarantee portfolio from MAD 2 billion in 2011 to MAD 12 billion by mid-2016. 
</t>
    </r>
    <r>
      <rPr>
        <b/>
        <sz val="10"/>
        <color theme="1"/>
        <rFont val="Arial Nova"/>
        <family val="2"/>
      </rPr>
      <t xml:space="preserve">Capacity building financial institutions:
</t>
    </r>
    <r>
      <rPr>
        <sz val="10"/>
        <color theme="1"/>
        <rFont val="Arial Nova"/>
        <family val="2"/>
      </rPr>
      <t>* Limits the extent to which banks lend to large companies and encourages banks to focus on MSMEs</t>
    </r>
    <r>
      <rPr>
        <b/>
        <sz val="10"/>
        <color theme="1"/>
        <rFont val="Arial Nova"/>
        <family val="2"/>
      </rPr>
      <t xml:space="preserve">
</t>
    </r>
    <r>
      <rPr>
        <sz val="10"/>
        <color theme="1"/>
        <rFont val="Arial Nova"/>
        <family val="2"/>
      </rPr>
      <t>* Provide capacity building of financial sector agencies in supervising the use of new products.</t>
    </r>
    <r>
      <rPr>
        <b/>
        <sz val="10"/>
        <color theme="1"/>
        <rFont val="Arial Nova"/>
        <family val="2"/>
      </rPr>
      <t xml:space="preserve">
Credit information system:</t>
    </r>
    <r>
      <rPr>
        <sz val="10"/>
        <color theme="1"/>
        <rFont val="Arial Nova"/>
        <family val="2"/>
      </rPr>
      <t xml:space="preserve"> Improved credit information systems including a secured transactions framework that empirically has shown to benefit women entrepreneurs who may not own land to provide as collateral.
</t>
    </r>
    <r>
      <rPr>
        <b/>
        <sz val="10"/>
        <color theme="1"/>
        <rFont val="Arial Nova"/>
        <family val="2"/>
      </rPr>
      <t xml:space="preserve">Direct lending: </t>
    </r>
    <r>
      <rPr>
        <sz val="10"/>
        <color theme="1"/>
        <rFont val="Arial Nova"/>
        <family val="2"/>
      </rPr>
      <t xml:space="preserve">Establish a public-private co-lending fund targeting existing industrial and export MSMEs. CCG’s fund had helped safeguard 25,000 MSME jobs. Most of the lending financed MSME working capital and helped settle their pension arrears.
</t>
    </r>
    <r>
      <rPr>
        <b/>
        <sz val="10"/>
        <color theme="1"/>
        <rFont val="Arial Nova"/>
        <family val="2"/>
      </rPr>
      <t>Colalteral registry:</t>
    </r>
    <r>
      <rPr>
        <sz val="10"/>
        <color theme="1"/>
        <rFont val="Arial Nova"/>
        <family val="2"/>
      </rPr>
      <t xml:space="preserve"> E-registry for movable collateral.</t>
    </r>
    <r>
      <rPr>
        <b/>
        <sz val="10"/>
        <color theme="1"/>
        <rFont val="Arial Nova"/>
        <family val="2"/>
      </rPr>
      <t xml:space="preserve">
Payment system infrastructure:
</t>
    </r>
    <r>
      <rPr>
        <sz val="10"/>
        <color theme="1"/>
        <rFont val="Arial Nova"/>
        <family val="2"/>
      </rPr>
      <t>* Give MSMEs access to a live database of bounced checks and other payment default records. This enables MSMEs to screen new customers and monitor the financial health of existing customers.
* Credit reporting systems to help MSMEs build records of loan repayment and leverage reputational collateral to lower their financing costs.</t>
    </r>
  </si>
  <si>
    <t xml:space="preserve">i) Total financing of eligible MSMEs: from 0 in 2013 to MAD 6 bn in 2018
ii) MSME loans with CCG guarantees: from MAD 4.6 bn in 2013 to MAD 18 bn in 2018
iii) Total MSME loans with CCG guarantees to majority female-owned MSMEs: from MAD 420 mn in 2013 to MAD 1.8 bn in 2018
iv) MSME loans with CCG guarantees in the Oriental and Marrakesh regions:
from MAD 555 mn in 2013 to MAD 1.5 bn in 2018
v) Total MSME VAT credits paid: from 0 in 2013 to MAD 250 mn by 2018
vi) Total number of MSMEs with credit scores: from no scores in 2013 to 40,000
in 2018.
 </t>
  </si>
  <si>
    <t>http://documents1.worldbank.org/curated/en/327981495159287058/pdf/MA-DPL2-PD-Board-clean-042517-04252017.pdf</t>
  </si>
  <si>
    <t>National Financial Inclusion and Digital Economy
Development Policy Financing</t>
  </si>
  <si>
    <t>Direct lending, Enabling infrastructure, Grants and subsidies</t>
  </si>
  <si>
    <t>Credit information system, Payment system infrastructure, Regulatory environment</t>
  </si>
  <si>
    <t>Micro enterprises, Urban livelihoods, Rural livelihoods, Women, Start-ups</t>
  </si>
  <si>
    <t>Agriculture, Digital economy, Health care</t>
  </si>
  <si>
    <t xml:space="preserve">MFIs, NGOs, Other financial institutions </t>
  </si>
  <si>
    <t>* The Program Development Objective (PDO) is to foster financial inclusion and contribute to digital transformation for individuals, enterprises, and entrepreneurs.</t>
  </si>
  <si>
    <t>i) Gross loan portfolio for the microfinance sector (MAD billion; % women borrowers) - 50% by 2020
ii) Percentage of payment companies reporting genderdisaggregated data - 75% of payment companies reporting to BAM by 2020
iii) Number of start-up projects submitted to business angels for financing - 30 by 2020</t>
  </si>
  <si>
    <t>http://documents1.worldbank.org/curated/en/930571550977295030/pdf/FINAL-Morocco-FIDE-PD-DPF-P168587-Jan-23-2019-Clean-for-RVP-1-01282019-636865560830710558.pdf</t>
  </si>
  <si>
    <t>The COVID-19 Crisis in Morocco</t>
  </si>
  <si>
    <t>20 May 2020</t>
  </si>
  <si>
    <t>Ministry of Health</t>
  </si>
  <si>
    <t>Credit guarantee, Enabling infrastructure,  Grants and subsidies</t>
  </si>
  <si>
    <t xml:space="preserve"> Payment system infrastructure</t>
  </si>
  <si>
    <t>Adversely affected businesses by the COVID-19 crisis, Women</t>
  </si>
  <si>
    <t xml:space="preserve">Agriculture, Health care, Tourism, Financial sector </t>
  </si>
  <si>
    <t>State-owned bank, Other financial institutions</t>
  </si>
  <si>
    <t xml:space="preserve">No infromaton available </t>
  </si>
  <si>
    <r>
      <rPr>
        <b/>
        <sz val="10"/>
        <color theme="1"/>
        <rFont val="Arial Nova"/>
        <family val="2"/>
      </rPr>
      <t>Credit guarantee:</t>
    </r>
    <r>
      <rPr>
        <sz val="10"/>
        <color theme="1"/>
        <rFont val="Arial Nova"/>
        <family val="2"/>
      </rPr>
      <t xml:space="preserve">
* Integrating, in addition to investment credits, operating credits and increasing the frequency of refinancing for a period of two years. the Central Bank established a credit line for refinancing new loans disbursed in favour of MSMEs.
* The implementation of a zero interest rate credit has been decided, up to 15,000 DH. This credit, which will be available from April 27, 2020, will be reimbursed over a period of 3 years with a grace period of one year. The interests will be fully covered by the insurance sector which will contribute 100 million DH to the guarantee mechanism set up by the State, through the Central Guarantee Fund.
* The launch of the product DAMANE OXYGENE, a guarantee product put in place by MEFRA with the Caisse Centrale de Garantie (CCG), aims to provide coverage for an exceptional overdraft up to 95% for SMEs and mid-sized companies with a turnover of between 200 million and 500 million DH, and whose activities have been impacted by the crisis.
</t>
    </r>
    <r>
      <rPr>
        <b/>
        <sz val="10"/>
        <color theme="1"/>
        <rFont val="Arial Nova"/>
        <family val="2"/>
      </rPr>
      <t>Deferral/restructuring of payments:</t>
    </r>
    <r>
      <rPr>
        <sz val="10"/>
        <color theme="1"/>
        <rFont val="Arial Nova"/>
        <family val="2"/>
      </rPr>
      <t xml:space="preserve">
* Payment of all social taxes is suspended until 30 June. A moratorium on the repayment of bank credit maturities and for the reimbursement of leasing maturities is established until 30 June, without payment of fees or penalties. 
* Postponement of credit repayment terms up to three months for SMEs
</t>
    </r>
    <r>
      <rPr>
        <b/>
        <sz val="10"/>
        <color theme="1"/>
        <rFont val="Arial Nova"/>
        <family val="2"/>
      </rPr>
      <t>Grants and subsidies:</t>
    </r>
    <r>
      <rPr>
        <sz val="10"/>
        <color theme="1"/>
        <rFont val="Arial Nova"/>
        <family val="2"/>
      </rPr>
      <t xml:space="preserve">
* Employees affiliated with the social security system will benefit from a 2000 dirhams monthly allocation (approximately 202 USD). They will also benefit from a suspension of loans and consumption credits reimbursements, until 30 June 2020
* Postponement of deadlines for personal income tax returns and the exemption from income tax on the additional allowances paid to employees affiliated to the social security system (CNSS) by their employers.
</t>
    </r>
    <r>
      <rPr>
        <b/>
        <sz val="10"/>
        <color theme="1"/>
        <rFont val="Arial Nova"/>
        <family val="2"/>
      </rPr>
      <t>Payment system infrastructure:</t>
    </r>
    <r>
      <rPr>
        <sz val="10"/>
        <color theme="1"/>
        <rFont val="Arial Nova"/>
        <family val="2"/>
      </rPr>
      <t xml:space="preserve">
* The MEFRA has launched a new electronic platform "SMART" to allow the online submission of requests for special exchange authorisations and the remote declaration of foreign exchange transactions.</t>
    </r>
  </si>
  <si>
    <t>http://www.oecd.org/mena/competitiveness/The-Covid-19-Crisis-in-Morocco.pdf</t>
  </si>
  <si>
    <t>Financing Innovative Startups and Small and Medium Enterprises
Project</t>
  </si>
  <si>
    <t>Government of Morocco, World Bank</t>
  </si>
  <si>
    <t>Ministry of Economy and Finance, Ministry of Industry, Trade, Investment, and Digital Economy</t>
  </si>
  <si>
    <t>Early-stage finance, Enabling infrastructure; Equity investment or incentives; Enabling infrastructure</t>
  </si>
  <si>
    <t>Micro enterprises, Start ups</t>
  </si>
  <si>
    <t xml:space="preserve">Other financial institutions </t>
  </si>
  <si>
    <t xml:space="preserve">* The project development objective is to facilitate the increase of private equity and quasi-equity finance for innovative startups and small and medium enterprises in the Project Area. </t>
  </si>
  <si>
    <r>
      <rPr>
        <b/>
        <sz val="10"/>
        <color theme="1"/>
        <rFont val="Arial Nova"/>
        <family val="2"/>
      </rPr>
      <t xml:space="preserve">Capacity building MSMEs: </t>
    </r>
    <r>
      <rPr>
        <sz val="10"/>
        <color theme="1"/>
        <rFont val="Arial Nova"/>
        <family val="2"/>
      </rPr>
      <t xml:space="preserve">Mentoring programs will include information on the direct provision of mentoring services and building mentoring capacity and skills. Mentoring programs will have as a criterion linkages to the ecosystem providers and angel/seed and early-stage/VC funds supported by the project. 
</t>
    </r>
    <r>
      <rPr>
        <b/>
        <sz val="10"/>
        <color theme="1"/>
        <rFont val="Arial Nova"/>
        <family val="2"/>
      </rPr>
      <t>Early-stage finance and equity investment or incentives:</t>
    </r>
    <r>
      <rPr>
        <sz val="10"/>
        <color theme="1"/>
        <rFont val="Arial Nova"/>
        <family val="2"/>
      </rPr>
      <t xml:space="preserve">
* Early stage/VC funds (US$33 million), will be entrusted to newly established or existing Funds. The latter will carry out equity or quasi-equity investments in innovative young SMEs through an average transaction of US $ 500,000. The early stage/VC Funds will mature after 10 years but may be extended for up to 2+2+1 years without exceeding 15 years.
* Seed equity financing will be made available to innovative SMEs through newly created or existing intermediaries in the entrepreneurial ecosystem such as Angel Funds, Accelerators, investment management companies or others up to a maximum of US$500,000. 
* Soft Loans (US$2 million). This activity is aimed at newly created start-ups, to finance the commercialization of their innovation and help establish their company. The maximum loan amount can be up to US$50,000 and can be repaid in the event of success or transferred to a grant in the event the startup fails. 
*Funding will support the provision of pre-seed grants to entrepreneurs and young innovative SMEs in amounts up to US$20,000 each.</t>
    </r>
  </si>
  <si>
    <t>Number of entrepreneurs receiving pre-seed grants and soft loans through the
project (200)</t>
  </si>
  <si>
    <t>http://documents1.worldbank.org/curated/en/805641489370466662/pdf/Morocco-Financing-Innovative-Startups-PAD1362-02222017.pdf</t>
  </si>
  <si>
    <t>Micro, Small and Medium Enterprise Development Project</t>
  </si>
  <si>
    <t>Central Bank of Morocco</t>
  </si>
  <si>
    <t xml:space="preserve">Credit guarantee, Enabling infrastructure </t>
  </si>
  <si>
    <t xml:space="preserve">Micro enterprises, Women </t>
  </si>
  <si>
    <t>* Micro, Small and Medium Enterprise (MSME) Facility: to catalyze financing, risksharing and technical assistance to address policy, legal, institutional, capacity, and informational constraints holding back MSME access to finance in the MENA Region, and thereby to support improvements in MSME employment, competitiveness, and incomes.
* Adaptable Program Loan (APL): to improve access to finance for micro, small and medium enterprises in the MENA Region. The APL is the IBRD financing mechanism for the MSME Facility.
* APL 2 (Morocco MSME Development Project): to improve access to finance for MSMEs in Morocco.</t>
  </si>
  <si>
    <r>
      <rPr>
        <b/>
        <sz val="10"/>
        <color theme="1"/>
        <rFont val="Arial Nova"/>
        <family val="2"/>
      </rPr>
      <t xml:space="preserve">Credit guarantee: </t>
    </r>
    <r>
      <rPr>
        <sz val="10"/>
        <color theme="1"/>
        <rFont val="Arial Nova"/>
        <family val="2"/>
      </rPr>
      <t xml:space="preserve"> The provision of partial credit guarantees will help increase lending to MSMEs by reducing banks’ lending risks to MSME borrowers (10 million MAD). 
</t>
    </r>
    <r>
      <rPr>
        <b/>
        <sz val="10"/>
        <color theme="1"/>
        <rFont val="Arial Nova"/>
        <family val="2"/>
      </rPr>
      <t>Capacity building MSMEs:</t>
    </r>
    <r>
      <rPr>
        <sz val="10"/>
        <color theme="1"/>
        <rFont val="Arial Nova"/>
        <family val="2"/>
      </rPr>
      <t xml:space="preserve"> Support for MSMEs through entrepreneur networks, mentoring, and business incubator-type services. 
</t>
    </r>
    <r>
      <rPr>
        <b/>
        <sz val="10"/>
        <color theme="1"/>
        <rFont val="Arial Nova"/>
        <family val="2"/>
      </rPr>
      <t xml:space="preserve">Capacity building financial institutions: </t>
    </r>
    <r>
      <rPr>
        <sz val="10"/>
        <color theme="1"/>
        <rFont val="Arial Nova"/>
        <family val="2"/>
      </rPr>
      <t>Strengthening financial institutions to improve access to finance to MSMEs. This includes in-depth advisory services for SME banking with a focus on women entrepreneurs, strengthening risk management and corporate governance practices.</t>
    </r>
  </si>
  <si>
    <t xml:space="preserve">i) Increase in total number of MSME loans of Participating Financial Institution (PFIs) by at least 20 percent within 5 years
ii) Increase in the total volume of outstanding MSME portfolio of PFIs. (MAD million) by at least 10 percent within 5 years
</t>
  </si>
  <si>
    <t>Very small: less than 3 million MAD; 0.4 million USD
Small: Between 3 to 10 million MAD; 0.4 million to 1.2 million USD
Medium: Between 10 to 175 million MAD; 1.2 million USD to 20.8 million USD</t>
  </si>
  <si>
    <t>http://documents1.worldbank.org/curated/en/106731468279863485/pdf/685500PAD0P1290Official0Use0Only090.pdf</t>
  </si>
  <si>
    <t>Improving the credit information system</t>
  </si>
  <si>
    <t>Central Bank of Morocco, Private Credit Bureaus, IFC, banks</t>
  </si>
  <si>
    <t>* The outdated public credit registry got revamped and simultaneously the first private credit bureau was established.</t>
  </si>
  <si>
    <r>
      <t xml:space="preserve">Credit information system: </t>
    </r>
    <r>
      <rPr>
        <sz val="10"/>
        <color theme="1"/>
        <rFont val="Arial Nova"/>
        <family val="2"/>
      </rPr>
      <t xml:space="preserve">All supervised entities (banks, NBFIs and MFI) are mandated to provide the Central Bank of Morocco (BAM) with full data on all loans on a monthly basis. BAM consolidates the data and provides the same to all licensed credit bureaus. Support for the establishment of a credit bureau in Morocco was part of the IFC's Global Credit Bureau Progam. </t>
    </r>
  </si>
  <si>
    <t>The credit bureau has data on 4.7 million customers and over 200,000 businesses. Since 2009, it has recorded over 10.18 million contracts worth 689.10 billion dirhams.</t>
  </si>
  <si>
    <t>https://www.enterprise-development.org/wp-content/uploads/ScalingUp_SME_Access_to_Financial_Services.pdf
https://translate.google.com/translate?hl=en&amp;sl=fr&amp;u=https://lnt.ma/bamgestion-du-risque-credit-credit-bureau-second-operateur-en-2015/&amp;prev=search&amp;pto=aue</t>
  </si>
  <si>
    <t>Caisse Centrale de Grantie</t>
  </si>
  <si>
    <t>Moroccan government, World bank</t>
  </si>
  <si>
    <t>* The objective of the reform is to enable the CCG to provide access to credit to a larger number of SMEs with better loan origination incentives and to overcome the old system's deficiencies.</t>
  </si>
  <si>
    <r>
      <rPr>
        <b/>
        <sz val="10"/>
        <color theme="1"/>
        <rFont val="Arial Nova"/>
        <family val="2"/>
      </rPr>
      <t xml:space="preserve">Credit guarantee: </t>
    </r>
    <r>
      <rPr>
        <sz val="10"/>
        <color theme="1"/>
        <rFont val="Arial Nova"/>
        <family val="2"/>
      </rPr>
      <t>As a public credit institution, they offer different products that aim to support different aspects of businesses through a credit guarantee. For instance, the Damane Atassyir Guarantee covers the operating bank loans relating to the operating cycle of companies and greater than MAD 1 million.</t>
    </r>
  </si>
  <si>
    <t>Turnover of more than 10 million DH</t>
  </si>
  <si>
    <t xml:space="preserve">Their product referred to as "Damane Relance", deployed in favor of small, medium and large companies with a turnover of more than 10 million DH, has benefited 4,427 companies . </t>
  </si>
  <si>
    <t>In quarter 1 of 2019, they granted MAD5.46 billion ($571 million) in credit guarantees to local SMEs</t>
  </si>
  <si>
    <t xml:space="preserve">
https://www.ecofinagency.com/finance/1505-40061-caisse-centrale-de-garantie-s-credit-guarantee-to-smes-rises-by-33-to-566-mln-in-q1-2019
https://www.enterprise-development.org/wp-content/uploads/ScalingUp_SME_Access_to_Financial_Services.pdf
https://translate.google.com/translate?hl=en&amp;sl=fr&amp;u=https://www.ecoactu.ma/caisse-centrale-de-garantie-ccg-bilan/&amp;prev=search&amp;pto=aue</t>
  </si>
  <si>
    <t>National Agency for the Promotion of SME's</t>
  </si>
  <si>
    <t>Ministry of Industry, Trade and New Technologies (MICNT)</t>
  </si>
  <si>
    <t>Capacity Building MSME</t>
  </si>
  <si>
    <t>Start-ups, Micro-enterprise</t>
  </si>
  <si>
    <t>* To work for the promotion, development and upgrading of SMEs.</t>
  </si>
  <si>
    <r>
      <rPr>
        <b/>
        <sz val="10"/>
        <color theme="1"/>
        <rFont val="Arial Nova"/>
        <family val="2"/>
      </rPr>
      <t xml:space="preserve">Capacity building MSME: </t>
    </r>
    <r>
      <rPr>
        <sz val="10"/>
        <color theme="1"/>
        <rFont val="Arial Nova"/>
        <family val="2"/>
      </rPr>
      <t xml:space="preserve">The Infitah program consists of providing very small enterprises (VSEs) with free introductory sessions on information technology (IT) to enable them to discover the benefits of IT for the development of their activities and the improvement of their competitiveness.
</t>
    </r>
    <r>
      <rPr>
        <b/>
        <sz val="10"/>
        <color theme="1"/>
        <rFont val="Arial Nova"/>
        <family val="2"/>
      </rPr>
      <t xml:space="preserve">Grants and susbsidies: </t>
    </r>
    <r>
      <rPr>
        <sz val="10"/>
        <color theme="1"/>
        <rFont val="Arial Nova"/>
        <family val="2"/>
      </rPr>
      <t>The Imitiaz-growth program grants selected companies a material or immaterial subsidy to investment, including a partial or total acquisition of companies –notably, in the framework of mergers, acquisitions, and take-over—to the tune of 20% of the total investment and capped at five million Dirhams (5MDH) per development project.</t>
    </r>
  </si>
  <si>
    <t xml:space="preserve">INMAA Program “School Factory”: which objective is to help 300 to 600 Moroccan SMEs with high potential to successfully complete their operational transformation on a large scale
The Moussanada programme aims to support 500 businesses a year with the main objective of improving productivity and speeding up the use of information technology within businesses
The Imitiaz-growth program aims to support 80 high growth companies. </t>
  </si>
  <si>
    <t>Any company with a turnover of less than 3MDHS is considered as a micro enterprise;
Any company with a turnover between 3 MDHS and 10 MDHS is considered as a very small enterprise
Any company with a turnover is between 10 MDHS and 175 MDHS7, the company is considered as a SME</t>
  </si>
  <si>
    <t>The facility was created in 2002 under Article 56 of Law No. 53-00 forming the Small and Medium-Sized Enterprise (SME) Charter</t>
  </si>
  <si>
    <t xml:space="preserve">The National Agency for the Promotion of SME's supported 152 SME's in 2019. 
In terms of entrepreneurial support, the National Agency for Promotion of SME's supported  self-employed and promoters of beneficiary projects amounting to 14,034 people.
Regarding support in terms of advice and technical assistance, the number of beneficiary projects reached 372 in 2019. 
Over the 2014-2020 period, Agency supported 2,242 growth and transformation projects for very small, small and medium-sized enterprises (VSEs)  </t>
  </si>
  <si>
    <t>https://www.world-today-news.com/maroc-pme-14034-self-employed-and-project-leaders-supported-in-2019/
https://www.edulink.ma/en/organismes_etatiques/maroc-pme/
https://www.researchgate.net/publication/307512387_Small_and_medium_Enterprises_in_Morocco_Definition's_Issues_and_Challenges/link/57c71f7908aefc4af34c7baa/download</t>
  </si>
  <si>
    <t>Instituto para Promoção de Pequenas e Médias Empresas (IPEME)</t>
  </si>
  <si>
    <t>Ministry of Industry and Commerce</t>
  </si>
  <si>
    <t xml:space="preserve">* To encourage the implementation, consolidation and development of small enterprises in Mozambique. </t>
  </si>
  <si>
    <r>
      <rPr>
        <b/>
        <sz val="10"/>
        <color theme="1"/>
        <rFont val="Arial Nova"/>
        <family val="2"/>
      </rPr>
      <t>Capacity building MSMEs:</t>
    </r>
    <r>
      <rPr>
        <sz val="10"/>
        <color theme="1"/>
        <rFont val="Arial Nova"/>
        <family val="2"/>
      </rPr>
      <t xml:space="preserve">
* Business information: providing information on small businesses geared to meeting the needs of entrepreneurs, businesses and citizens.
* Business consulting: direct and personalized follow-up to entrepreneurs and small business managers, supporting the formation and development of business growth strategies.
* Business training: courses offered to small entrepreneurs in the areas of entrepreneurship, business, marketing, access to investment, among others etc.
* Facilitation of business financing: dissemination of information on financial solutions, adapted to the realities and needs of small businesses.
</t>
    </r>
    <r>
      <rPr>
        <b/>
        <sz val="10"/>
        <color theme="1"/>
        <rFont val="Arial Nova"/>
        <family val="2"/>
      </rPr>
      <t>Early-stage finance:</t>
    </r>
    <r>
      <rPr>
        <sz val="10"/>
        <color theme="1"/>
        <rFont val="Arial Nova"/>
        <family val="2"/>
      </rPr>
      <t xml:space="preserve">
* Creation of new companies: support during the stages of conception of the idea, elaboration of business plan, financing and first steps of the company.
* Promotion of entrepreneurship: development of diversified skills geared towards creating new businesses.</t>
    </r>
  </si>
  <si>
    <t xml:space="preserve">https://macauhub.com.mo/2010/04/22/8962/ ; http://ois.sebrae.com.br/comunidades/ipeme-instituto-para-a-promocao-das-pequenas-e-medias-empresas-mocambique/ ; https://www.devex.com/organizations/instituto-para-a-promocao-das-pequenas-e-medias-empresas-ipeme-123633 </t>
  </si>
  <si>
    <t>SME Financing Strategy</t>
  </si>
  <si>
    <t xml:space="preserve">Ministry of Finance, Bank of Namibia (central bank) </t>
  </si>
  <si>
    <t>Ministry of Finance, Bank of Namibia (central bank), Namibia Special Risks Insurance
Association, Ministry of Sport, Youth and National Service, Development Bank of Namibia</t>
  </si>
  <si>
    <t>Credit guarantee, Enabling infrastructure, Direct lending</t>
  </si>
  <si>
    <t>* Address limited access to finance and support services for SMEs in Namibia.</t>
  </si>
  <si>
    <r>
      <rPr>
        <b/>
        <sz val="10"/>
        <color theme="1"/>
        <rFont val="Arial Nova"/>
        <family val="2"/>
      </rPr>
      <t xml:space="preserve">Credit guarantee: </t>
    </r>
    <r>
      <rPr>
        <sz val="10"/>
        <color theme="1"/>
        <rFont val="Arial Nova"/>
        <family val="2"/>
      </rPr>
      <t xml:space="preserve">The Credit Guarantee Scheme will be rolled-out in collaboration with the Namibia Special Risks Insurance Association (NASRIA). Provide collateral cover for qualifying SMEs, commences at an initial size of N$100 million, for which N$2 million will be dedicated to the establishment of a database for SMEs. The facility size will be scaled up over the medium-term through greater public and private sector support.
</t>
    </r>
    <r>
      <rPr>
        <b/>
        <sz val="10"/>
        <color theme="1"/>
        <rFont val="Arial Nova"/>
        <family val="2"/>
      </rPr>
      <t xml:space="preserve">Capacity building MSMEs: </t>
    </r>
    <r>
      <rPr>
        <sz val="10"/>
        <color theme="1"/>
        <rFont val="Arial Nova"/>
        <family val="2"/>
      </rPr>
      <t xml:space="preserve">Mentorship and Coaching Program will provide tailored training and capacity-building for beneficiaries of these facilities. Training and mentorship will be extended either directly by DBN or through specialized service providers in coordination with similar existing initiatives at the Ministry of Industrialization, Trade and SME Development as well as the EMPRETEC program.
</t>
    </r>
    <r>
      <rPr>
        <b/>
        <sz val="10"/>
        <color theme="1"/>
        <rFont val="Arial Nova"/>
        <family val="2"/>
      </rPr>
      <t>Direct lending:</t>
    </r>
    <r>
      <rPr>
        <sz val="10"/>
        <color theme="1"/>
        <rFont val="Arial Nova"/>
        <family val="2"/>
      </rPr>
      <t xml:space="preserve"> Skills-based Lending Facility for the Youth will be hosted by the Ministry of Finance in collaboration with Development Bank of Namibia: initial starting size of $30 million, to be scaled up over the short to the medium-term; Funding Facility for the One Hundred and Twenty One is hosted by the Ministry of Sport, Youth and National Service in collaboration with of the 121 Constituencies nationally.</t>
    </r>
  </si>
  <si>
    <t>Skills-based Lending Facility for the Youth, Funding Facility for the One Hundred and Twenty One</t>
  </si>
  <si>
    <t>https://mof.gov.na/documents/35641/36580/Statement+Marking+the+Launch+of+SME+Financing+Strategy_HS+2019.pdf/cc5e5219-9492-ae99-aa83-67b250792c87#:~:text=The%20SME%20Financing%20Strategy%20is,and%20other%20private%20sector%20financiers.&amp;text=The%20products%20are%20co%2Dfinanced,enhancing%20scalability%2C%20governance%20and%20impact.</t>
  </si>
  <si>
    <t>Skills-based Lending Facility for the Youth</t>
  </si>
  <si>
    <t>Development Bank of Namibia</t>
  </si>
  <si>
    <t>* Provide finance for youth artisans and professionals.</t>
  </si>
  <si>
    <r>
      <rPr>
        <b/>
        <sz val="10"/>
        <color theme="1"/>
        <rFont val="Arial Nova"/>
        <family val="2"/>
      </rPr>
      <t xml:space="preserve">Direct lending: </t>
    </r>
    <r>
      <rPr>
        <sz val="10"/>
        <color theme="1"/>
        <rFont val="Arial Nova"/>
        <family val="2"/>
      </rPr>
      <t>Youth artisans with NQF3 qualifications and up are invited to apply under this pilot programme, either as start-ups or for existing enterprises; The lowest loan amount will be N$50,000 and the highest will be N$1 million. Finance will be approved on the basis of a business plan and cash flow projection.</t>
    </r>
  </si>
  <si>
    <t>https://www.dbn.com.na/phocadownload/DBN-Info-Young-Artisan-V2020c.pdf</t>
  </si>
  <si>
    <t>Construction, Manufacturing, Tourism, Trade, Transport</t>
  </si>
  <si>
    <t>The Development Bank of Namibia is mandated to contribute to the development of Namibia, and the socio-economic wellbeing of its citizens.
* To achieve prosperity.
* To achieve transformation.
* To develop a conducive environment.</t>
  </si>
  <si>
    <r>
      <rPr>
        <b/>
        <sz val="10"/>
        <color theme="1"/>
        <rFont val="Arial Nova"/>
        <family val="2"/>
      </rPr>
      <t xml:space="preserve">Direct lending: </t>
    </r>
    <r>
      <rPr>
        <sz val="10"/>
        <color theme="1"/>
        <rFont val="Arial Nova"/>
        <family val="2"/>
      </rPr>
      <t>The normal maximum loan tenure is 10 years; The minimum loan amount is N$150,000.</t>
    </r>
    <r>
      <rPr>
        <b/>
        <sz val="10"/>
        <color theme="1"/>
        <rFont val="Arial Nova"/>
        <family val="2"/>
      </rPr>
      <t xml:space="preserve">
Capacity building MSMEs: </t>
    </r>
    <r>
      <rPr>
        <sz val="10"/>
        <color theme="1"/>
        <rFont val="Arial Nova"/>
        <family val="2"/>
      </rPr>
      <t>The Bank works with applicants to develop a deep understanding of business models, project proposals, and project and enterprise milestones, so that it can develop viable financing terms that take sustainability, risk and growth into account.</t>
    </r>
  </si>
  <si>
    <t>Small and Medium:  Annual turnover of N$10 million or less</t>
  </si>
  <si>
    <t>Development Bank of Namibia Act of 2002</t>
  </si>
  <si>
    <t>https://www.dbn.com.na/products-services/sme-finance</t>
  </si>
  <si>
    <t>SME Bank</t>
  </si>
  <si>
    <t>* To provide superior, well designed, targeted banking products and services to small, medium, micro and informal enterprises that will enable them to start, grow, compete and prosper in a global setting.</t>
  </si>
  <si>
    <r>
      <rPr>
        <b/>
        <sz val="10"/>
        <color theme="1"/>
        <rFont val="Arial Nova"/>
        <family val="2"/>
      </rPr>
      <t xml:space="preserve">Direct lending: </t>
    </r>
    <r>
      <rPr>
        <sz val="10"/>
        <color theme="1"/>
        <rFont val="Arial Nova"/>
        <family val="2"/>
      </rPr>
      <t>SME Bank was founded by the Government of Namibia following the dissolution of the Small Business Credit Guarantee Trust (SBCGT) that was transformed into a fully-fledged Commercial Banking Institution. With the head office in Windhoek, SME Bank will in the near future open branches in all 14 regions of the country. SME Bank provides special attention to projects of Small and Medium Size Enterprises (SMEs), and those catering to Rural Communities, Micro Enterprises and Previously Disadvantaged Individuals (PDIs). SME Bank has a full Commercial Banking License and offers banking services to individuals and companies that are not necessarily SME’s, through Personal Banking (Retail), Corporate Banking, and Treasury and International Banking.</t>
    </r>
  </si>
  <si>
    <t xml:space="preserve">
Additionally, it is important to note that findings from this study showed that out of 600 applications for SME funding, only 100 were successful, representing 16,67%
success rate for 2014, and this also explains the fact that finance for SME is difficult to access.
In 2015, the success rate of getting financial support for the SMEs from the SME Bank was still the same despite having received 3000 applications (500 were successful) and this also explains the reason why SMEs think DFIs must reduce their collateral requirements.</t>
  </si>
  <si>
    <t xml:space="preserve">The study found out
that the SME Bank reserved N$1.5 billion for SME development in 2016. The study also found
that in and in 2014 and 2015 the SME Bank released about N$18 million and N$142 million
in loan respectively; The amount issued in 2015 clearly shows that the support for the development of SMEs by the DFI is growing. </t>
  </si>
  <si>
    <t>http://smebank.com.na/; https://open.uct.ac.za/bitstream/handle/11427/27438/thesis_com_2017_hasheela_sem.pdf?sequence=1</t>
  </si>
  <si>
    <t>National Policy on Small and Medium Enterprises</t>
  </si>
  <si>
    <t>Ministry of Industrialisation, Trade and SME Development</t>
  </si>
  <si>
    <t>Capacity building MSMEs, Payment system infrastructure, Regulatory environment, Other</t>
  </si>
  <si>
    <t>The objectives of the MSME Policy are:
* To develop a comprehensive framework of support services for MSME development, given
the importance of the sector to the overall Namibian economy.
* To ensure the acceptance (and thereby promotion) of MSMEs as indispensable agents of
economic growth and poverty eradication.
* To ensure that the MSME Policy recommendations contained herein are embedded in
Government planning frameworks in a broad-based and integrated manner.
* To suggest changes to existing fiscal policies, regulatory frameworks, and Government
support institutions with the aim of facilitating the attainment of the goals of the MSME Policy.
* To nurture and promote MSME support institutions and organisations in terms of the delivery of
necessary services.
* To advocate for the development of appropriate platforms to prepare MSMEs for the
challenges of globally integrated markets and the attendant high levels of competition.
* To foster the development MSMEs by adopting international good practices for the
modernisation and upgrading of technology.
* To promote women’s entrepreneurship and ensure gender-balanced economic development.
* To reduce regional and spatial imbalances with regard to industrial development within the
Namibian economy by facilitating the establishment of MSMEs in rural settings and in previously underserved urban areas.</t>
  </si>
  <si>
    <r>
      <rPr>
        <b/>
        <sz val="10"/>
        <color theme="1"/>
        <rFont val="Arial Nova"/>
        <family val="2"/>
      </rPr>
      <t>Capacity building MSMEs:</t>
    </r>
    <r>
      <rPr>
        <sz val="10"/>
        <color theme="1"/>
        <rFont val="Arial Nova"/>
        <family val="2"/>
      </rPr>
      <t xml:space="preserve"> Ensure that all MSMEs (especially those in rural areas) have access to basic financial management training through cooperation with the Financial Literacy Initiative hosted by the Ministry of Finance.
</t>
    </r>
    <r>
      <rPr>
        <b/>
        <sz val="10"/>
        <color theme="1"/>
        <rFont val="Arial Nova"/>
        <family val="2"/>
      </rPr>
      <t>MSME procurement:</t>
    </r>
    <r>
      <rPr>
        <sz val="10"/>
        <color theme="1"/>
        <rFont val="Arial Nova"/>
        <family val="2"/>
      </rPr>
      <t xml:space="preserve"> 
* Explore ways to increase MSMEs’ access to public, private and civic procurement opportunities by ensuring that procedures do not discriminate against MSMEs and/ or by creating incentives to encourage the demand side to procure from MSMEs. 
* Cooperate with the Procurement Unit of the Ministry of Finance to develop empowerment policies, monitor their implementation, and review their efficacy. 
* Review the Competition Act (Act No. 2 of 2003) to allow MSMEs to combine their resources in tendering.
* Inform MSMEs about procurement rules and regulations and assist MSMEs that are facing problems in bidding for Government or private sector procurement contracts. * Design mechanisms to ensure good service delivery from MSMEs participating in tender.
</t>
    </r>
    <r>
      <rPr>
        <b/>
        <sz val="10"/>
        <color theme="1"/>
        <rFont val="Arial Nova"/>
        <family val="2"/>
      </rPr>
      <t>Payment system infrastructure</t>
    </r>
    <r>
      <rPr>
        <sz val="10"/>
        <color theme="1"/>
        <rFont val="Arial Nova"/>
        <family val="2"/>
      </rPr>
      <t>: Introduce and develop innovative payment systems (e.g., e-money, smartcards etc.) to reduce transaction costs for MSMEs in rural areas.</t>
    </r>
    <r>
      <rPr>
        <b/>
        <sz val="10"/>
        <color theme="1"/>
        <rFont val="Arial Nova"/>
        <family val="2"/>
      </rPr>
      <t xml:space="preserve">
Regulatory environment:
* </t>
    </r>
    <r>
      <rPr>
        <sz val="10"/>
        <color theme="1"/>
        <rFont val="Arial Nova"/>
        <family val="2"/>
      </rPr>
      <t xml:space="preserve">Assess and improve the insolvency and bankruptcy procedures to streamline processes and minimise time and costs, so as to ensure that the assets of failing enterprises are re-deployed as quickly as possible. 
* Provide targeted legal assistance to MSMEs in case of business disputes; Build the equity financing market in Namibia, i.e., create the regulatory framework for the implementation of a venture capital fund for high-growth-oriented MSMEs; Reduce the risk of lending to MSMEs by providing the regulatory framework for the implementation of a challenge fund facilitating access to business development and MSME advisory services.
* Explore alternatives to collateral, since the lack of collateral is one of the main barriers to access to finance for MSMEs. I.e., create the regulatory framework for the implementation of a credit guarantee scheme for MSMEs.
</t>
    </r>
    <r>
      <rPr>
        <b/>
        <sz val="10"/>
        <color theme="1"/>
        <rFont val="Arial Nova"/>
        <family val="2"/>
      </rPr>
      <t>Other</t>
    </r>
    <r>
      <rPr>
        <sz val="10"/>
        <color theme="1"/>
        <rFont val="Arial Nova"/>
        <family val="2"/>
      </rPr>
      <t>: Consolidate scattered Government funds, i.e., through the creation of a one-stop agency dealing with all Government MSME funding instruments (grants and guarantees) (see Chapter 5 on the institutional framework).</t>
    </r>
  </si>
  <si>
    <t>Micro: 1-10 employees; annual turnover of 0 - 300,000 NS
Small: 11-30 employees; annual turnover of 300,01 - 3,000,000NS
Medium: 31-100 employees; annual turnover of 3,000,001 - 10,000,000NS</t>
  </si>
  <si>
    <t>http://www.mti.gov.na/downloads/MSME%20policy%20final.pdf</t>
  </si>
  <si>
    <t>Non-agricultural small business loan scheme</t>
  </si>
  <si>
    <t>* To support job retention, continued productive economic activities and the cash flow of businesses.</t>
  </si>
  <si>
    <r>
      <rPr>
        <b/>
        <sz val="10"/>
        <color theme="1"/>
        <rFont val="Arial Nova"/>
        <family val="2"/>
      </rPr>
      <t xml:space="preserve">Credit guarantee: </t>
    </r>
    <r>
      <rPr>
        <sz val="10"/>
        <color theme="1"/>
        <rFont val="Arial Nova"/>
        <family val="2"/>
      </rPr>
      <t>Government will guarantee a N$500.0 million, concessional rate, loan scheme for non-agricultural small businesses, with funds provided through the Development Bank of Namibia. The loans will be extended to businesses experiencing or expected to experience cash-flow pressure as a result of a loss in revenue due to COVID-19.</t>
    </r>
  </si>
  <si>
    <t>https://mof.gov.na/documents/35641/36580/Phase+1+VF+Stimulus+and+Relief+Package%2C+Republic+of+Namibia.pdf/9a2314de-4b39-00a1-b8bd-4ffcfe1f20d3</t>
  </si>
  <si>
    <t>Agricultural business loan scheme</t>
  </si>
  <si>
    <t>Agricultural Bank of Namibia</t>
  </si>
  <si>
    <r>
      <t xml:space="preserve">Credit guarantee: </t>
    </r>
    <r>
      <rPr>
        <sz val="10"/>
        <color theme="1"/>
        <rFont val="Arial Nova"/>
        <family val="2"/>
      </rPr>
      <t xml:space="preserve">Government will further guarantee a N$200.0 million loan scheme for framers and agricultural businesses by extending a guarantee for such loans to the Agricultural Bank of Namibia. The loans will be extended to cashflow-constrained farmers and small to medium-sized farming businesses that have experienced a significant loss of revenue; Twelve (12) months for loan instalment holiday ( Interest + capital ). </t>
    </r>
  </si>
  <si>
    <t>Equipment Aid Scheme</t>
  </si>
  <si>
    <t>Ministry of Industrialization, Trade and SME Development</t>
  </si>
  <si>
    <t>Agriculture, Construction, Manufacturing</t>
  </si>
  <si>
    <t>* Aimed at boosting the production capacity of the informal and formal SME sector by assisting them to acquire production equipment and technologies.</t>
  </si>
  <si>
    <r>
      <t xml:space="preserve">Grants and subsidies: </t>
    </r>
    <r>
      <rPr>
        <sz val="10"/>
        <color theme="1"/>
        <rFont val="Arial Nova"/>
        <family val="2"/>
      </rPr>
      <t>As requirement to elevate small and medium enterprises (SMEs), the ministry provided assistance in the form of equipment and other technology to these businesses, in order for them to effectively run their businesses and subsequently create employment.</t>
    </r>
  </si>
  <si>
    <t>To date, the ministry procured and provided production equipment and machinery to over 700 SMEs in the 14 regions in the areas of construction and brick making; auto-motive repairs, air-conditioning and refrigeration repairs, garment manufacturing, agro-food processing; and joinery.</t>
  </si>
  <si>
    <t>https://namibiadailynews.info/mitsds-equipment-aid-scheme-temporarily-halted/</t>
  </si>
  <si>
    <t>* The Act mandates Agribank to advance money to persons or financial intermediaries to promote agriculture and activities related to agriculture.</t>
  </si>
  <si>
    <r>
      <t xml:space="preserve">Direct lending: </t>
    </r>
    <r>
      <rPr>
        <sz val="10"/>
        <color theme="1"/>
        <rFont val="Arial Nova"/>
        <family val="2"/>
      </rPr>
      <t>Agribank is a development finance institution whose mandate is to lend money to individuals, business entities or financial intermediaries for the promotion of agriculture and related activities.</t>
    </r>
  </si>
  <si>
    <t>Agribank Act No. 5/2003</t>
  </si>
  <si>
    <t>https://agribank.com.na/page/aims-and-objectives</t>
  </si>
  <si>
    <t>Government of Namibia</t>
  </si>
  <si>
    <t>Development Bank of Namibia (DBN), Namibia Special Risks Insurance Association (NASRIA)</t>
  </si>
  <si>
    <t>* To insure credit granted to qualifying SMEs, the Scheme substantially reduces the collateral requirement for qualifying SMEs.</t>
  </si>
  <si>
    <r>
      <rPr>
        <b/>
        <sz val="10"/>
        <color theme="1"/>
        <rFont val="Arial Nova"/>
        <family val="2"/>
      </rPr>
      <t xml:space="preserve">Credit guarantee: </t>
    </r>
    <r>
      <rPr>
        <sz val="10"/>
        <color theme="1"/>
        <rFont val="Arial Nova"/>
        <family val="2"/>
      </rPr>
      <t>The Credit Guarantee Scheme for SMEs, to provide collateral cover of 60% for qualifying SMEs applying for finance from participating commercial finance institutions.</t>
    </r>
  </si>
  <si>
    <t>Annual turnover of up to N$10million</t>
  </si>
  <si>
    <t>https://africabusinesscommunities.com/banking-and-finance/news/namibia-finance-minister-opens-credit-guarantee-scheme-for-smes/
https://www.bignewsnetwork.com/news/266132320/namibia-opens-credit-guarantee-scheme-for-smes-amid-covid-19</t>
  </si>
  <si>
    <t>Partnering to Accelerate Entrepreneurship (PACE) program</t>
  </si>
  <si>
    <t>Sinergi, Investisseurs &amp; Partenaires (I&amp;P) and United States Agency for international Development (USAID)</t>
  </si>
  <si>
    <t>Sinergie, Investisseurs &amp; Partenaires (I&amp;P)</t>
  </si>
  <si>
    <t xml:space="preserve">* The PACE program is an innovative acceleration program for start ups and small and medium sized enterprises with high potential in order to facilitate their access to financing. </t>
  </si>
  <si>
    <r>
      <rPr>
        <b/>
        <sz val="10"/>
        <color theme="1"/>
        <rFont val="Arial Nova"/>
        <family val="2"/>
      </rPr>
      <t xml:space="preserve">Early-stage finance: </t>
    </r>
    <r>
      <rPr>
        <sz val="10"/>
        <color theme="1"/>
        <rFont val="Arial Nova"/>
        <family val="2"/>
      </rPr>
      <t xml:space="preserve">The PACE program aims to meet the financing needs of businesses during their incubation or acceleration phase, for amounts between 19 and 25 million FCFA. 
</t>
    </r>
    <r>
      <rPr>
        <b/>
        <sz val="10"/>
        <color theme="1"/>
        <rFont val="Arial Nova"/>
        <family val="2"/>
      </rPr>
      <t xml:space="preserve">Capacity building MSMEs: </t>
    </r>
    <r>
      <rPr>
        <sz val="10"/>
        <color theme="1"/>
        <rFont val="Arial Nova"/>
        <family val="2"/>
      </rPr>
      <t>The aim of the PACE program is to strengthen the capacities of the companies financed through personalised technical support in the form of training and expert missions.</t>
    </r>
  </si>
  <si>
    <t>http://sinerginiger.com/programme-start-ups-et-petites-entreprises-pace/</t>
  </si>
  <si>
    <t>I&amp;P Acceleration program</t>
  </si>
  <si>
    <t>Sinergi, Investisseurs &amp; Partenaires (I&amp;P) and European Union</t>
  </si>
  <si>
    <t>* The I&amp;P Acceleration program is aimed at supporting start ups and small businesses access to the funding and skills necessary to promote change of scale and thus promote job creation.</t>
  </si>
  <si>
    <r>
      <t xml:space="preserve">Early-stage finance: </t>
    </r>
    <r>
      <rPr>
        <sz val="10"/>
        <color theme="1"/>
        <rFont val="Arial Nova"/>
        <family val="2"/>
      </rPr>
      <t xml:space="preserve">The I&amp;P Acceleration program aims to meet the financing needs of businesses during their incubation or acceleration phase, for amounts between 2 million and 40 million FSFA. 
</t>
    </r>
    <r>
      <rPr>
        <b/>
        <sz val="10"/>
        <color theme="1"/>
        <rFont val="Arial Nova"/>
        <family val="2"/>
      </rPr>
      <t xml:space="preserve">Capacity building MSMEs: </t>
    </r>
    <r>
      <rPr>
        <sz val="10"/>
        <color theme="1"/>
        <rFont val="Arial Nova"/>
        <family val="2"/>
      </rPr>
      <t>The aim of the I&amp;P Acceleration Program is to strengthen the capacities of financed companies and investment teams through training and expert missions (business plan, administrative and financial management, coaching etc).</t>
    </r>
  </si>
  <si>
    <t>http://sinerginiger.com/programme-start-ups-et-petites-entreprises-acceleration-au-sahel/</t>
  </si>
  <si>
    <t>Fonds national d'appui aux petites et moyennes enterprises et petites et moyennes industries (FONAP)</t>
  </si>
  <si>
    <t>* The National Support Fund is aimed at promoting the development of SMEs and allow them to contribute significantly to the economic development of Niger. Other objectives include the research and mobilisation of resources intended for the financing of SMEs, the facilitation of access to bank credit and the strengthening of their technical and managerial capacity.It also aims to address their financing gap by mobilising private capital through guarantees.</t>
  </si>
  <si>
    <r>
      <t xml:space="preserve">Credit guarantee: </t>
    </r>
    <r>
      <rPr>
        <sz val="10"/>
        <color theme="1"/>
        <rFont val="Arial Nova"/>
        <family val="2"/>
      </rPr>
      <t xml:space="preserve">Address the financing gap by mobilizing private capital through guarantees.
</t>
    </r>
    <r>
      <rPr>
        <b/>
        <sz val="10"/>
        <color theme="1"/>
        <rFont val="Arial Nova"/>
        <family val="2"/>
      </rPr>
      <t xml:space="preserve">Capacity building MSMEs: </t>
    </r>
    <r>
      <rPr>
        <sz val="10"/>
        <color theme="1"/>
        <rFont val="Arial Nova"/>
        <family val="2"/>
      </rPr>
      <t>Facilitation of access to bank credit and the strengthening of the technical and managerial capacity.</t>
    </r>
  </si>
  <si>
    <t>https://www.niameyetles2jours.com/l-economie/economie/1808-5829-creation-au-niger-du-fonap-un-fonds-dedie-aux-pme-et-pmi</t>
  </si>
  <si>
    <t>Micro, Small and Medium Enterprises Development Fund (MSMEDF)</t>
  </si>
  <si>
    <t>August 2013</t>
  </si>
  <si>
    <t>Central Bank of Nigeria</t>
  </si>
  <si>
    <t>Small, and Medium Enterprise development agency of Nigeria (SMEDAN)</t>
  </si>
  <si>
    <t>Capacity building MSMEs, Capacity building financial institutions, Regulatory environment</t>
  </si>
  <si>
    <t>People with disabilities, Start-ups, Women</t>
  </si>
  <si>
    <t>Agriculture, Services, Trade</t>
  </si>
  <si>
    <t>Commercial Banks, MFIs, Other financial institutions</t>
  </si>
  <si>
    <t>National MSME policy 2015-2025</t>
  </si>
  <si>
    <t>Number of employee, Asset value</t>
  </si>
  <si>
    <t>* To channel low interest funds to the MSME sub-sector of the Nigerian economy through Participating Financial Institutions (PFIs) to:
i) Enhance access by MSMEs to financial services 
ii) Increase productivity and output of microenterprises
iii) Increase employment and create wealth Engender inclusive growth.</t>
  </si>
  <si>
    <r>
      <rPr>
        <b/>
        <sz val="10"/>
        <color theme="1"/>
        <rFont val="Arial Nova"/>
        <family val="2"/>
      </rPr>
      <t xml:space="preserve">
Capacity building financial institutions: </t>
    </r>
    <r>
      <rPr>
        <sz val="10"/>
        <color theme="1"/>
        <rFont val="Arial Nova"/>
        <family val="2"/>
      </rPr>
      <t xml:space="preserve">Improve the capacity of the PFIs to meet credit needs of MSMEs
</t>
    </r>
    <r>
      <rPr>
        <b/>
        <sz val="10"/>
        <color theme="1"/>
        <rFont val="Arial Nova"/>
        <family val="2"/>
      </rPr>
      <t xml:space="preserve">Grants and subsidies: </t>
    </r>
    <r>
      <rPr>
        <sz val="10"/>
        <color theme="1"/>
        <rFont val="Arial Nova"/>
        <family val="2"/>
      </rPr>
      <t xml:space="preserve">Loan of up to N 500,000 with repayment period of one yearfor micro-business and of N 50 mn with repayment period of three years for SMEs; maximum interest rate is 9%; distribution of loan through Microfinance banks, commercial banks, cooperatives, finance companies, NGO-Microfinance Institutions, Development Finance Institutions; 60% of the fund is reserved for enterprises and 10% for start-up businesses
</t>
    </r>
    <r>
      <rPr>
        <b/>
        <sz val="10"/>
        <color theme="1"/>
        <rFont val="Arial Nova"/>
        <family val="2"/>
      </rPr>
      <t xml:space="preserve">Capacity building MSMEs: </t>
    </r>
    <r>
      <rPr>
        <sz val="10"/>
        <color theme="1"/>
        <rFont val="Arial Nova"/>
        <family val="2"/>
      </rPr>
      <t>Financial literacy and entrepreneurship development;  Mobilization, training and linking of MSMEs to financial services</t>
    </r>
    <r>
      <rPr>
        <b/>
        <sz val="10"/>
        <color theme="1"/>
        <rFont val="Arial Nova"/>
        <family val="2"/>
      </rPr>
      <t xml:space="preserve">
Regulatory environment: </t>
    </r>
    <r>
      <rPr>
        <sz val="10"/>
        <color theme="1"/>
        <rFont val="Arial Nova"/>
        <family val="2"/>
      </rPr>
      <t>Development of appropriate regulatory regime for MSMEs lending.</t>
    </r>
  </si>
  <si>
    <t xml:space="preserve">60% of the Fund is dedicated to support women businesses. 3600 trainees from the CBN Entrepreneurship Development Centre per annum should have accessed the MSMEDF. </t>
  </si>
  <si>
    <t>Micro: Less than 10 employees with a total asset of less than N5 million (excluding land and buildings) and operated by sole proprietor.
Small and Medium: Asset base of N5 million and not more than N500 million (excluding land and buildings) with employees of between 11 and 200.</t>
  </si>
  <si>
    <t>The cumulative disbursement to MSMEs from inception, in 2013, to 2018 was N83.36 billion, comprising N57.62 billion (69.1%) through state governments; commercial banks, N12.67 billion (15.2%) and microfinance banks, N11.35 billion (13.6%). Others were NGO-MFIs, N0.59 billion (0.7%), cooperatives, N0.42 billion (0.5%), and development finance institutions (DFIs), N10.00 million (0.01%); while grants accounted for N0.70 billion (0.9%). 
In 2014 1445 trainees at the CBN Entrpreneurship Development Centre accessed the MSMEDF. This number decline to 114 trainees in 2017. (Far below the 3600 target)</t>
  </si>
  <si>
    <t>https://www.cbn.gov.ng/Out/2014/DFD/MSMEDF%20GUIDELINES%20%20.pdf; https://carnegieendowment.org/files/Page_Okeke_Nigeria_final.pdf; https://www.cbn.gov.ng/MSME/FAQonMSMEDF.pdf</t>
  </si>
  <si>
    <t>Small and Medium Enterprise Equity Investment Scheme (SMEEIS)</t>
  </si>
  <si>
    <t>Bankers committee</t>
  </si>
  <si>
    <t>Early-stage finance, Equity investment or incentives, Enabling infrastructure</t>
  </si>
  <si>
    <t>Asset value</t>
  </si>
  <si>
    <t>* Facilitate the flow of funds from banks for the establishment of new, viable SME projects, expansion of existing industries and rehabilitation of moribund ones. 
* Stimulate economic growth. 
* Develop local technology 
* Promote indigenous entrepreneurship, 
* Generate employment.
* Ensure output expansion, income re-distribution and production of intermediate goods meant to strengthen inter and intra-industrial linkages.</t>
  </si>
  <si>
    <r>
      <rPr>
        <b/>
        <sz val="10"/>
        <color theme="1"/>
        <rFont val="Arial Nova"/>
        <family val="2"/>
      </rPr>
      <t xml:space="preserve">Early-stage finance: </t>
    </r>
    <r>
      <rPr>
        <sz val="10"/>
        <color theme="1"/>
        <rFont val="Arial Nova"/>
        <family val="2"/>
      </rPr>
      <t xml:space="preserve">The Investment scheme is essentially a venture capital fund that is complemented by technical support.
</t>
    </r>
    <r>
      <rPr>
        <b/>
        <sz val="10"/>
        <color theme="1"/>
        <rFont val="Arial Nova"/>
        <family val="2"/>
      </rPr>
      <t xml:space="preserve">Capacity building MSMEs: </t>
    </r>
    <r>
      <rPr>
        <sz val="10"/>
        <color theme="1"/>
        <rFont val="Arial Nova"/>
        <family val="2"/>
      </rPr>
      <t xml:space="preserve">Banks are to give financial advisory , technical and managerial support to benefiting SMEs that are operationally variable.
</t>
    </r>
    <r>
      <rPr>
        <b/>
        <sz val="10"/>
        <color theme="1"/>
        <rFont val="Arial Nova"/>
        <family val="2"/>
      </rPr>
      <t xml:space="preserve">Equity investment or incentives: </t>
    </r>
    <r>
      <rPr>
        <sz val="10"/>
        <color theme="1"/>
        <rFont val="Arial Nova"/>
        <family val="2"/>
      </rPr>
      <t>The Scheme requires all banks in Nigeria to set aside 10 (ten) percent of their profit after tax (PAT) for equity investment and promotion of small and medium industries.</t>
    </r>
  </si>
  <si>
    <t xml:space="preserve">Small and Medium: Maximum asset base of N500 million ( excluding land and working capital). </t>
  </si>
  <si>
    <t xml:space="preserve">The funds investments were in 333 projects out of which the real sector accounted for 205 projects, and the service-related sector, excluding trading, accounted for 128 projects, while micro-enterprises did not attract any investment. </t>
  </si>
  <si>
    <t>https://www.cbn.gov.ng/OUT/PUBLICATIONS/REPORTS/RSD/2009/CBN%20DRAFT%20ANNUAL%20REPORT%20FOR%20THE%20YEAR%20ENDED%2031ST%20DECEMBER%202008%20-%20PART%202%20(ACTIVITIES%20OF%20CBN).PDF
https://nairametrics.com/wp-content/uploads/2012/04/smeeis-guideline1.pdf</t>
  </si>
  <si>
    <t>Nigeria Economic Sustainability Plan</t>
  </si>
  <si>
    <t>Economic Sustainability Committee</t>
  </si>
  <si>
    <t>Ministry of Industry, Trade and Investment</t>
  </si>
  <si>
    <t>People with disabilities, Women</t>
  </si>
  <si>
    <t>Tourism, Trade, Transport</t>
  </si>
  <si>
    <t>* MSME payroll support to save 500,000 jobs and sustain 50,000 MSME's. N50million set aside for this.</t>
  </si>
  <si>
    <r>
      <rPr>
        <b/>
        <sz val="10"/>
        <color theme="1"/>
        <rFont val="Arial Nova"/>
        <family val="2"/>
      </rPr>
      <t>Grants and subsidies: 
*</t>
    </r>
    <r>
      <rPr>
        <sz val="10"/>
        <color theme="1"/>
        <rFont val="Arial Nova"/>
        <family val="2"/>
      </rPr>
      <t xml:space="preserve">The scheme is a conditional grant to support vulnerable SMEs in designated vulnerable sectors in meeting their payroll obligations and safeguard jobs from the shock of COVID-19. The scheme will seek to support 50,000 SMEs employing a minimum of 10 employees and a
maximum of 50 employees each. Designated vulnerable sectors
include: hotels, creative industries, road transport, tourism, private educational institutions, etc.
</t>
    </r>
    <r>
      <rPr>
        <b/>
        <sz val="10"/>
        <color theme="1"/>
        <rFont val="Arial Nova"/>
        <family val="2"/>
      </rPr>
      <t>Direct lending: 
*</t>
    </r>
    <r>
      <rPr>
        <sz val="10"/>
        <color theme="1"/>
        <rFont val="Arial Nova"/>
        <family val="2"/>
      </rPr>
      <t>N200 million set aside for loans to artisans - to support daily-paid and self-employed workers and artisansthrough the provision of interest-free credit to be disbursed through micro-finance and fin-tech credit providers
*N100 million set aside for supporting private transport companies and workers.</t>
    </r>
  </si>
  <si>
    <t>Save 500,000 jobs and sustain 50,000 MSME's</t>
  </si>
  <si>
    <t>Guaranteed Offtake Scheme</t>
  </si>
  <si>
    <t xml:space="preserve">Micro, Small and Medium: Minimum of 10 employees and a maximum of 50 employees each </t>
  </si>
  <si>
    <t>70,000 business shortlisted</t>
  </si>
  <si>
    <t>https://dailytrust.com/payroll-fund-over-400000-businesses-applied-office
https://www.survivalfund.ng/#
https://techpoint.africa/wp-content/uploads/2020/06/ESC-Plan.pdf</t>
  </si>
  <si>
    <t>21 September 2020</t>
  </si>
  <si>
    <t>No specified expiry date(but initially three months)</t>
  </si>
  <si>
    <t>* Safeguarding existing small businesses to save jobs and ensure continued local production.</t>
  </si>
  <si>
    <r>
      <rPr>
        <b/>
        <sz val="10"/>
        <color theme="1"/>
        <rFont val="Arial Nova"/>
        <family val="2"/>
      </rPr>
      <t xml:space="preserve">MSME procurement: </t>
    </r>
    <r>
      <rPr>
        <sz val="10"/>
        <color theme="1"/>
        <rFont val="Arial Nova"/>
        <family val="2"/>
      </rPr>
      <t>Goal of sustaining 300,000 jobs in 100, 000 MSMEs by guaranteeing off-take of priority products such as processed food, personal protective equipment, hand sanitizers, face masks, face shield, shoe covers and pharmaceuticals.</t>
    </r>
  </si>
  <si>
    <t>100,000 MSME's supported</t>
  </si>
  <si>
    <t>https://www.budgetoffice.gov.ng/index.php/nigeria-economic-sustainability-plan/nigeria-economic-sustainability-plan/download
https://twitter.com/NigeriaGov/status/1292774687668396033/photo/1
https://allafrica.com/stories/202008110472.html</t>
  </si>
  <si>
    <t>Agri-Business/Small and Medium Enterprise Investment Scheme (AGSMEIS)</t>
  </si>
  <si>
    <t>5 April 2017</t>
  </si>
  <si>
    <t>Central Bank of Nigeria and Bankers Committee</t>
  </si>
  <si>
    <t>Agriculture, Digital Economy, Manufacturing, Mining</t>
  </si>
  <si>
    <t>Commercial Banks, MFIs</t>
  </si>
  <si>
    <t>* To ensure Small and Medium Enterprises (SMEs) have access to finance.
* To generate much-needed employment opportunities in Nigeria.
* To develop agricultural value chain and ensure sustainable agricultural practices.
* To boost the managerial capacity of Agri-Business/SMEs as pipelines of growing enterprises that can become huge corporate organizations.</t>
  </si>
  <si>
    <r>
      <rPr>
        <b/>
        <sz val="10"/>
        <color theme="1"/>
        <rFont val="Arial Nova"/>
        <family val="2"/>
      </rPr>
      <t xml:space="preserve">Direct lending: </t>
    </r>
    <r>
      <rPr>
        <sz val="10"/>
        <color theme="1"/>
        <rFont val="Arial Nova"/>
        <family val="2"/>
      </rPr>
      <t xml:space="preserve">The debt component shall constitute 50% of the fund which shall be disbursed as financings to eligible businesses through Non-Interest Deposit Money Banks. The debt component shall comprise term financing (including equipment finance*) and/or working capital where applicable.i. Financing limit: N10,000,000 ii. Mark-up: 5% per annum iii. Tenor: Up to 7 years (depending on the nature/gestation period of the project) iv. Moratorium: Maximum of 18 months for principal and 6 months on mark-up.
</t>
    </r>
    <r>
      <rPr>
        <b/>
        <sz val="10"/>
        <color theme="1"/>
        <rFont val="Arial Nova"/>
        <family val="2"/>
      </rPr>
      <t xml:space="preserve">Equity investment or incentives: </t>
    </r>
    <r>
      <rPr>
        <sz val="10"/>
        <color theme="1"/>
        <rFont val="Arial Nova"/>
        <family val="2"/>
      </rPr>
      <t xml:space="preserve">Equity component makes up 40% of the fund. Limit: 40% of investee company’s equity subject to a maximum of
N2,000,000,000; tenor: Up to 10 years with an initial lock-up period of 3 years. 
</t>
    </r>
    <r>
      <rPr>
        <b/>
        <sz val="10"/>
        <color theme="1"/>
        <rFont val="Arial Nova"/>
        <family val="2"/>
      </rPr>
      <t xml:space="preserve">Capacity building MSMEs: </t>
    </r>
    <r>
      <rPr>
        <sz val="10"/>
        <color theme="1"/>
        <rFont val="Arial Nova"/>
        <family val="2"/>
      </rPr>
      <t>The developmental component of the Scheme shall be for capacity building and technical assistance to MSMEs as well as operational costs of the Scheme. It shall constitute 5% of the Fund</t>
    </r>
  </si>
  <si>
    <t>The scheme has created a Fund that is domiciled within the CBN for the purpose of financing SME's. This Fund is for debit, equity and development financing (sub-intervention not included here)</t>
  </si>
  <si>
    <t>Micro, Small and Medium:
i) Sales turnover not exceeding N4.5 billion
ii) Total assets not exceeding N4.5 billion
iii) Number of tax paying employees not exceeing 250</t>
  </si>
  <si>
    <t>All investments in the scheme must be compliant with the Banks and other financial institutions Act (BOFIA) 1991</t>
  </si>
  <si>
    <t>The Central Bank of Nigeria has approved a total sum of N25bn for disbursement to over 8,000 successful AGSMEIS applicants. The NMFB credit team has commenced the disbursement process in earnest. Currently, they have disbursed over N1.89bn to 574 beneficiaries.</t>
  </si>
  <si>
    <t>https://nairametrics.com/wp-content/uploads/2020/07/AGSMEIS-Guidelines-Revised-version2-Resolutions-21-final-1.pdf
https://gogetit.com.ng/tag/agsmeis/ ;
https://www.cbn.gov.ng/Out/2017/DFD/Guidelines%20on%20AGSMEIS.pdf</t>
  </si>
  <si>
    <t>Small and Medium Enterprises Credit Guarantee Scheme (SMECGS)</t>
  </si>
  <si>
    <t>Manufacturing, Agriculture</t>
  </si>
  <si>
    <t>Commercial Banks, Other financial institutions</t>
  </si>
  <si>
    <t xml:space="preserve">The objectives of the scheme are to:
i) Fast-track the development of the manufacturing SME sector of the Nigerian economy by providing guarantee for credit from banks to SMEs
and manufacturers.
ii) Set the pace for industrialization of the Nigerian economy.
iii) Increase the access to credit by promoters of SMEs and manufacturers.
iv) Increase output, generate employment, diversify the revenue base, increase foreign exchange earnings and provide inputs for the industrial sector on a sustainable basis. </t>
  </si>
  <si>
    <r>
      <rPr>
        <b/>
        <sz val="10"/>
        <color theme="1"/>
        <rFont val="Arial Nova"/>
        <family val="2"/>
      </rPr>
      <t>Credit guarantee:
*</t>
    </r>
    <r>
      <rPr>
        <sz val="10"/>
        <color theme="1"/>
        <rFont val="Arial Nova"/>
        <family val="2"/>
      </rPr>
      <t xml:space="preserve"> The guarantee cover shall be 80% of principal and interest and shall be valid up to the maturity date of the loan with a maximum tenure of 7 years inclusive of a 2-year moratorium. 
* The Guarantee shall be executed at the point of the loan disbursement by the Bank to the customer and shall be redeemed when the facility becomes non-performing and classified under the loss category of the Prudential Guidelines. </t>
    </r>
  </si>
  <si>
    <t>Micro, Small and Medium: Employees 11-300; asset base N5million-N500million</t>
  </si>
  <si>
    <t>18 loans financed (6 pending) (by 2013)</t>
  </si>
  <si>
    <t>Of the N200 BN currently N0.89 BN has been disbursed (0.31 pending) (by 2013)</t>
  </si>
  <si>
    <t>https://www.cbn.gov.ng/Out/2010/publications/guidelines/dfd/GUIDELINES%20ON%20N200%20BILLION%20SME%20CREDIT%20GUARANTEE.pdf
https://openknowledge.worldbank.org/bitstream/handle/10986/15994/WPS6563.pdf;jsessionid=749159CB3B65C964D224958CDD3CD73B?sequence=1</t>
  </si>
  <si>
    <t>Agricultural Credit Guarantee Scheme Fund (ACGSF)</t>
  </si>
  <si>
    <t xml:space="preserve">* The scheme was designed to encourage banks to increase lending to the agricultural sector by providing some form of guarantee against risks inherent in agricultural lending. </t>
  </si>
  <si>
    <r>
      <rPr>
        <b/>
        <sz val="10"/>
        <color theme="1"/>
        <rFont val="Arial Nova"/>
        <family val="2"/>
      </rPr>
      <t>Credit guarantee:</t>
    </r>
    <r>
      <rPr>
        <sz val="10"/>
        <color theme="1"/>
        <rFont val="Arial Nova"/>
        <family val="2"/>
      </rPr>
      <t xml:space="preserve">
* The scheme provides a 75% gurantee.  
* Maximum loan size: For cooperatives: N5m; for corporate: N10m; unspecified tenure. 
* Under the new guidelines, the maximum for non-collaterised loan under the ACGSF Amendment Act 2019 is now N100,000.</t>
    </r>
  </si>
  <si>
    <t>Established by Decree No. 20 of 1977</t>
  </si>
  <si>
    <t xml:space="preserve">By October 2015, the scheme had guaranteed loans totalling 94.37 billion Naira to 990,292 beneficiaries. 
The latest report by CBN puts the number of farmers reached to get a loan from the fund between January and December 2018 to 30612
</t>
  </si>
  <si>
    <t>https://www.cbn.gov.ng/out/Publications/guidelines/dfd/1990/guidelines-acgsf.pdf
https://africaincmag.com/2020/09/04/nigeria-injects-more-funds-to-acgsf-to-bolster-agricultural-value-chain-financing/
https://www.cbn.gov.ng/Out/2019/DFD/ACGSF%20ACTIVITIES%20JAN-DEC%202018%20PDF.pdf
https://www.jstor.org/stable/resrep21002.6?seq=3#metadata_info_tab_contents</t>
  </si>
  <si>
    <t>National MSME Policy 2015-2025</t>
  </si>
  <si>
    <t xml:space="preserve">Small &amp; Medium Enterprises Development Agency of Nigeria </t>
  </si>
  <si>
    <t>Several government ministries, Departments and agencies such as SMEDAN, State governments, Local governments, CAC</t>
  </si>
  <si>
    <t>Grants and subsidies, Enabling infrastructure</t>
  </si>
  <si>
    <t>Construction, Manufacturing, Services, Trade</t>
  </si>
  <si>
    <t>Commercial banks, MFIs, Other financial institutions</t>
  </si>
  <si>
    <t xml:space="preserve">* To provide an overall framework fo action a s guide for well focused, harmonious and co-ordinated programming by all actors. To set clear goals and targets in the various key areas to ensure policy consistency and providing and monitoring and evaluation criteria. </t>
  </si>
  <si>
    <r>
      <rPr>
        <b/>
        <sz val="10"/>
        <color theme="1"/>
        <rFont val="Arial Nova"/>
        <family val="2"/>
      </rPr>
      <t xml:space="preserve">Grants and subsidies: </t>
    </r>
    <r>
      <rPr>
        <sz val="10"/>
        <color theme="1"/>
        <rFont val="Arial Nova"/>
        <family val="2"/>
      </rPr>
      <t xml:space="preserve">The goal of establishing a Small and Medium Enterprise/Development Fund (SMEDEF) has led to the establishment of the MSMEDF through co-ordination between SMEDAN and the CBN; The fund has distributed N0.70 billion in grants.
</t>
    </r>
    <r>
      <rPr>
        <b/>
        <sz val="10"/>
        <color theme="1"/>
        <rFont val="Arial Nova"/>
        <family val="2"/>
      </rPr>
      <t xml:space="preserve">Capacity building financial institutions: </t>
    </r>
    <r>
      <rPr>
        <sz val="10"/>
        <color theme="1"/>
        <rFont val="Arial Nova"/>
        <family val="2"/>
      </rPr>
      <t>Goal of increasing the capacity of banks to lend to MSME's through capacity building to MSME's - In 2014 1445 trainees at the CBN Entrpreneurship Development Centre accessed the MSMEDF.</t>
    </r>
  </si>
  <si>
    <t>Recapitalising development financial institutions like BOI by N 100BN</t>
  </si>
  <si>
    <t>Micro: Less than 10 employees and less than N5million in assets
Small: Between 10-49 employees and from N5 million up to but not including N50 million in assets
Medium: Between 50-199 employees and from N50 million up to but not including N500 million in assets</t>
  </si>
  <si>
    <t>National Economic Empowerment and Development Strategy (NEEDS)</t>
  </si>
  <si>
    <t>https://smedan.gov.ng/images/PDF/MSME-National-Policy.pdf</t>
  </si>
  <si>
    <t>Creative Industry Financing Initiative</t>
  </si>
  <si>
    <t>Central Bank of Nigeria, Bankers’ Committee</t>
  </si>
  <si>
    <t>Bankers’ Committee</t>
  </si>
  <si>
    <t>* Improve access to low-cost and sustainable financing for entrepreneurs and investors in the Nigerian creative and information technology sub-sectors.
* Boost job-creation particularly among youth
* Harness entrepreneur potential of youth within the Nigerian creative and information technology sub-sectors for economic development.
* Compliment other development finance initiatives of the CBN to accelerate financial inclusion.</t>
  </si>
  <si>
    <r>
      <rPr>
        <b/>
        <sz val="10"/>
        <color theme="1"/>
        <rFont val="Arial Nova"/>
        <family val="2"/>
      </rPr>
      <t>Direct lending:</t>
    </r>
    <r>
      <rPr>
        <sz val="10"/>
        <color theme="1"/>
        <rFont val="Arial Nova"/>
        <family val="2"/>
      </rPr>
      <t xml:space="preserve">
* The Creative Industry Financing Initiative (CIFI) is a loan scheme developed in collaboration with the Central Bank of Nigeria (CBN) to provide access to long-term and low-interest financing for entrepreneurs in the creative industry, including Fashion, Music, Movies, and Information Technology.
*Applicants can access ranges between N3 million to N500 million in funding.
* Maximum Tenor: 10 years; software development: N3m; fashion: N50m; movie and music production: N50m; movie distribution: N500m.
* Up to 36 months’ moratorium; interest rate: 9%.</t>
    </r>
  </si>
  <si>
    <t>https://businesspost.ng/showbiz/nigeria-begins-implementation-of-n22bn-creative-industry-scheme/
https://www.cbn.gov.ng/Out/2019/CCD/Modalities%20for%20CIFI%20Implementation%20.pdf; https://www.gtbank.com/business-banking/sme-banking/loans-advances/the-creative-industry-financing-initiative</t>
  </si>
  <si>
    <t>Development Bank of Nigeria project</t>
  </si>
  <si>
    <t>KfW (German development bank), AFDB, World Bank French Agency for Development and the Government of Nigeria</t>
  </si>
  <si>
    <t>* To alleviate financing constraints faced by MSMEs and small Corporates in Nigeria through the provision of financing and partial credit guarantees to eligible financial intermediaries on a market-conforming and fully financially sustainable basis.</t>
  </si>
  <si>
    <r>
      <rPr>
        <b/>
        <sz val="10"/>
        <color theme="1"/>
        <rFont val="Arial Nova"/>
        <family val="2"/>
      </rPr>
      <t>Capacity building financial institutions:</t>
    </r>
    <r>
      <rPr>
        <sz val="10"/>
        <color theme="1"/>
        <rFont val="Arial Nova"/>
        <family val="2"/>
      </rPr>
      <t xml:space="preserve">
* Supporting PFIs to reach out to MSMEs, i.e. beyond their traditional client base (b) enhancing PFIs understanding and usage of more appropriate (cash-flow based) lending techniques, required in environments with poor access to collateral.
</t>
    </r>
    <r>
      <rPr>
        <b/>
        <sz val="10"/>
        <color theme="1"/>
        <rFont val="Arial Nova"/>
        <family val="2"/>
      </rPr>
      <t>Capacity building MSMEs:</t>
    </r>
    <r>
      <rPr>
        <sz val="10"/>
        <color theme="1"/>
        <rFont val="Arial Nova"/>
        <family val="2"/>
      </rPr>
      <t xml:space="preserve">
* The Development Bank of Nigeria has formally commenced the maiden edition of the DBN Entrepreneurship Training Programme, which kicked off simultaneously in Lagos and Abuja on Tuesday, 20th August, 2019. Designed as a sustainable capacity building Programme, the maiden edition of the training programme seeks to groom the first cohort of 100 MSMEs across a broad range of industries with the requisite skills needed for business success.
</t>
    </r>
    <r>
      <rPr>
        <b/>
        <sz val="10"/>
        <color theme="1"/>
        <rFont val="Arial Nova"/>
        <family val="2"/>
      </rPr>
      <t xml:space="preserve">Credit guarantee: </t>
    </r>
    <r>
      <rPr>
        <sz val="10"/>
        <color theme="1"/>
        <rFont val="Arial Nova"/>
        <family val="2"/>
      </rPr>
      <t>This component was designed to provide US$35 million for a Credit Guarantee Facility (CGF) to be established as the DBN’s wholly owned subsidiary.</t>
    </r>
  </si>
  <si>
    <t>230,000 SME loan beneficiaries;
450,000 jobs created;</t>
  </si>
  <si>
    <t>Small and Medium: Less than 250 employees; annual turnover of less than 3.125million per annum; assets of less than 3.125million</t>
  </si>
  <si>
    <t>35,000 MSMEs reached in the 2018/2019 period. Cumulatively they have reached over disbursed loans to over 100,000 MSME's</t>
  </si>
  <si>
    <t>Disbursed N31.36bn in loans MSME's in the 2018/2019 period. Cumultaively disbursed over N100 billion to MSME's</t>
  </si>
  <si>
    <t>https://nairametrics.com/2019/01/25/dbn-targets-n70-billion-credit-facilities-for-msmes/
https://www.premiumtimesng.com/business/business-news/394098-we-disbursed-over-n100-billion-to-msmes-in-2019-dbn.html
https://www.afd.fr/en/carte-des-projets/widen-credit-access-smes-nigeria</t>
  </si>
  <si>
    <t>Performance bases grants</t>
  </si>
  <si>
    <t>IDA/IFC, MFIs, Commercial banks</t>
  </si>
  <si>
    <t>Capacity building financial institutions, credit information system</t>
  </si>
  <si>
    <r>
      <rPr>
        <b/>
        <sz val="10"/>
        <color theme="1"/>
        <rFont val="Arial Nova"/>
        <family val="2"/>
      </rPr>
      <t xml:space="preserve">Capacity building MSMEs: </t>
    </r>
    <r>
      <rPr>
        <sz val="10"/>
        <color theme="1"/>
        <rFont val="Arial Nova"/>
        <family val="2"/>
      </rPr>
      <t xml:space="preserve">Grants will be provided to commercial microfinance providers for training and capacity building. There was also business development services.
</t>
    </r>
    <r>
      <rPr>
        <b/>
        <sz val="10"/>
        <color theme="1"/>
        <rFont val="Arial Nova"/>
        <family val="2"/>
      </rPr>
      <t xml:space="preserve">Credit information system: </t>
    </r>
    <r>
      <rPr>
        <sz val="10"/>
        <color theme="1"/>
        <rFont val="Arial Nova"/>
        <family val="2"/>
      </rPr>
      <t>Support will be provided for credit bureau regulations.</t>
    </r>
  </si>
  <si>
    <t>Bank of Industry (BOI)-Dangote MSME fund</t>
  </si>
  <si>
    <t>Bank of Industry, Dangote Foundation</t>
  </si>
  <si>
    <t>Bank of Industry</t>
  </si>
  <si>
    <t>* Providing financial assistance for the establishment of large, medium and small projects as well as the expansion, diversification and modernisation of existing enterprises; and rehabilitation of existing ones.</t>
  </si>
  <si>
    <r>
      <rPr>
        <b/>
        <sz val="10"/>
        <color theme="1"/>
        <rFont val="Arial Nova"/>
        <family val="2"/>
      </rPr>
      <t xml:space="preserve">Direct lending: </t>
    </r>
    <r>
      <rPr>
        <sz val="10"/>
        <color theme="1"/>
        <rFont val="Arial Nova"/>
        <family val="2"/>
      </rPr>
      <t xml:space="preserve">Nigeria’s Bank of Industry (BOI) to set up a N5 billion small and medium scale enterprises fund to grant low interest loans to entrepreneurs and small businesses in Nigeria. The fund is targeted at development of MSMEs across the nation with loans attracting only a 5 percent interest rate and a focused Bottom of the Pyramid Scheme to deepen access to the fund by entrepreneurs and micro enterprises. </t>
    </r>
  </si>
  <si>
    <t>Impacting the lives of up to 250,000 micro-entrepreneurs</t>
  </si>
  <si>
    <t>Micro: 10 or less employees; total assets of N5million or less; annual turnover of N20 million or less
Small: 11 to 50 employees; total assets of more than N5million up to N100 million; annual turnover of N100 million or less
Medium: from 51 up to 200 employees; total assets of more than N100 million up to N500 million; annual turnover of N500 million or less</t>
  </si>
  <si>
    <t xml:space="preserve">The Directorate disbursed N37.3 billion to finance 1,551 SME projects across 21 business clusters in 2019. </t>
  </si>
  <si>
    <t>https://z3n8y3h9.stackpathcdn.com/wp-content/uploads/2020/08/BOI-Annual-Report-2019-min.pdf
https://www.boi.ng/dangotefoundationboi-matching-fund/</t>
  </si>
  <si>
    <t>Guarantee ad support fund (FIGA)</t>
  </si>
  <si>
    <t xml:space="preserve">* The purpose of the fund is to help small and medium enterprises access finance. </t>
  </si>
  <si>
    <r>
      <rPr>
        <b/>
        <sz val="10"/>
        <color theme="1"/>
        <rFont val="Arial Nova"/>
        <family val="2"/>
      </rPr>
      <t xml:space="preserve">Credit guarantee and Capacity building MSMEs: </t>
    </r>
    <r>
      <rPr>
        <sz val="10"/>
        <color theme="1"/>
        <rFont val="Arial Nova"/>
        <family val="2"/>
      </rPr>
      <t xml:space="preserve">The fund will help these firms in their credit application and will also guarantee and cover their financing needs, either partially or in their entirety. </t>
    </r>
  </si>
  <si>
    <t>No comment</t>
  </si>
  <si>
    <t>https://www.mfw4a.org/news/congo-guarantee-fund-launched-smes</t>
  </si>
  <si>
    <t>Congo Republic Support to Economic Diversification Project</t>
  </si>
  <si>
    <t>13 September 2011</t>
  </si>
  <si>
    <t>Ministry of Planning</t>
  </si>
  <si>
    <t>Trade, Transport, Services</t>
  </si>
  <si>
    <t>* The objective of the project is to promote private sector growth and investment in the non-oil sectors in the Republic of Congo. The project will focus in particular on SMEs and the Pointe Noire-Brazzaville growth corridor, which is the most important and immediate source of economic growth and diversification.</t>
  </si>
  <si>
    <r>
      <t xml:space="preserve">Capacity building MSMEs: </t>
    </r>
    <r>
      <rPr>
        <sz val="10"/>
        <color theme="1"/>
        <rFont val="Arial Nova"/>
        <family val="2"/>
      </rPr>
      <t>Provide partial financing for training and other support services to support entrepreneurship and development of diversified enterprises.</t>
    </r>
    <r>
      <rPr>
        <b/>
        <sz val="10"/>
        <color theme="1"/>
        <rFont val="Arial Nova"/>
        <family val="2"/>
      </rPr>
      <t xml:space="preserve">
Grants and subsidies: </t>
    </r>
    <r>
      <rPr>
        <sz val="10"/>
        <color theme="1"/>
        <rFont val="Arial Nova"/>
        <family val="2"/>
      </rPr>
      <t>Grant for Enterprise Development, US5 million was focused on supporting private sector access to non-financial services through support of a matching grant program.</t>
    </r>
    <r>
      <rPr>
        <b/>
        <sz val="10"/>
        <color theme="1"/>
        <rFont val="Arial Nova"/>
        <family val="2"/>
      </rPr>
      <t xml:space="preserve">
Regulatory environment: </t>
    </r>
    <r>
      <rPr>
        <sz val="10"/>
        <color theme="1"/>
        <rFont val="Arial Nova"/>
        <family val="2"/>
      </rPr>
      <t>Review and improvement of legal, regulatory and institutional frameworks for enterprise creation, rationalization of the licensing and tax regime and support for the preparation of strategic, institutional and legal frameworks for Special Economic Zones (SEZs).</t>
    </r>
  </si>
  <si>
    <t>75% targeted in terms of percentage of SMEs, out of all SMEs supported by the project, that achieved agreed upon target performance indicators</t>
  </si>
  <si>
    <t>a) 85.65% actual achieved at completion of project in terms of percentage of SMEs, out of all SMEs supported by the project, that achieved agreed upon target performance indicators b) 481 supported SMEs through the matching grant program c) 100 providers qualified in more than 20 sectors for non-financial services</t>
  </si>
  <si>
    <t>http://documents1.worldbank.org/curated/en/588021537211934737/pdf/ICR00004020-09122018.pdf</t>
  </si>
  <si>
    <t>Small and Medium Enterprises (SMEs) Development Policy</t>
  </si>
  <si>
    <t>Rwanda Development Board (RDB), Development Bank of Rwanda (BRD) subsidiary, Ministry of finance and economic planning (MINECOFIN), National Bank of Rwanda (BNR), and the Private sector federation (PSF)</t>
  </si>
  <si>
    <t>The key policy objectives are:
i) Promote a culture of entrepreneurship among Rwandans
ii) Facilitate SME access to development services including:
* Business development services.
* Access to local, regional and international markets and market information.
* Promote innovation and technological capacity of SMEs for competitiveness.
iii) Put in place mechanisms for SMEs to access appropriate business financing.
iv) Simplify the fiscal and regulatory framework for SME growth.
v) Develop an appropriate institutional framework for SME development.</t>
  </si>
  <si>
    <r>
      <rPr>
        <b/>
        <sz val="10"/>
        <color theme="1"/>
        <rFont val="Arial Nova"/>
        <family val="2"/>
      </rPr>
      <t xml:space="preserve">Credit guarantee: </t>
    </r>
    <r>
      <rPr>
        <sz val="10"/>
        <color theme="1"/>
        <rFont val="Arial Nova"/>
        <family val="2"/>
      </rPr>
      <t xml:space="preserve">Underwriting loans to SMEs by financial institutions.
</t>
    </r>
    <r>
      <rPr>
        <b/>
        <sz val="10"/>
        <color theme="1"/>
        <rFont val="Arial Nova"/>
        <family val="2"/>
      </rPr>
      <t xml:space="preserve">Capacity building MSMEs: </t>
    </r>
    <r>
      <rPr>
        <sz val="10"/>
        <color theme="1"/>
        <rFont val="Arial Nova"/>
        <family val="2"/>
      </rPr>
      <t xml:space="preserve">A portion of the SME development fund will mainly be dedicated to enterprise development and innovation programs; Assist SMEs with access to technical assistance that can be used to enhance SME capacity.
</t>
    </r>
    <r>
      <rPr>
        <b/>
        <sz val="10"/>
        <color theme="1"/>
        <rFont val="Arial Nova"/>
        <family val="2"/>
      </rPr>
      <t xml:space="preserve">Grants and subsidies: </t>
    </r>
    <r>
      <rPr>
        <sz val="10"/>
        <color theme="1"/>
        <rFont val="Arial Nova"/>
        <family val="2"/>
      </rPr>
      <t xml:space="preserve">Matching grants – matching enterprise equity injections into viable SME projects.
</t>
    </r>
    <r>
      <rPr>
        <b/>
        <sz val="10"/>
        <color theme="1"/>
        <rFont val="Arial Nova"/>
        <family val="2"/>
      </rPr>
      <t xml:space="preserve">Regulatory environment: </t>
    </r>
    <r>
      <rPr>
        <sz val="10"/>
        <color theme="1"/>
        <rFont val="Arial Nova"/>
        <family val="2"/>
      </rPr>
      <t>Simplify the fiscal and regulatory framework for SMEs growth.</t>
    </r>
  </si>
  <si>
    <t>Using a PPP approach, establish 12 Centers of Excellence offering full scale Business development services and SME business incubators, specifically targeted at the development of key value-added clusters+AA37</t>
  </si>
  <si>
    <t>Mutual Guarantee and Credit Fund (SMGF); Business Development Fund (BFD); Business Partners International Rwanda SME Fund</t>
  </si>
  <si>
    <t>Micro: 
i) Net capital investment of Less than 0.5million RwF
ii) Annual turnover of Less than 0.3 million RwF
iii) Number of employees 1 to 3
Small:
i) Net capital investment of 0.5-15 million RwF
ii) Annual turnover of 0.3-12 million RwF
iii) Number of employees 4 to 30
Medium: 
i) Net capital investment of 15-75 million RwF
ii) Annual turnover of 12 to 50 million RwF
iii) Number of employees 31 to 100</t>
  </si>
  <si>
    <t>Minicom Strategic plan 2009-2012</t>
  </si>
  <si>
    <t>http://www.minicom.gov.rw/fileadmin/minicom_publications/policies/SME_Devt_policy_V180610.pdf; http://www.smeportal.gov.rw/IMG/pdf/sme_business_guide-final.2-4.pdf</t>
  </si>
  <si>
    <t>Mutual Guarantee and Credit Fund (SMGF)</t>
  </si>
  <si>
    <t>National Bank of Rwanda (BNR)</t>
  </si>
  <si>
    <t xml:space="preserve">Credit guarantee, Direct lending </t>
  </si>
  <si>
    <t xml:space="preserve">Rural livelihoods </t>
  </si>
  <si>
    <t>* To refinance microfinance institutions and increase their activity level especially in the rural areas.</t>
  </si>
  <si>
    <r>
      <rPr>
        <b/>
        <sz val="10"/>
        <color theme="1"/>
        <rFont val="Arial Nova"/>
        <family val="2"/>
      </rPr>
      <t xml:space="preserve">Credit guarantee: </t>
    </r>
    <r>
      <rPr>
        <sz val="10"/>
        <color theme="1"/>
        <rFont val="Arial Nova"/>
        <family val="2"/>
      </rPr>
      <t>The SMGF will guarantee a percentage of the total of the required refinancing credit granted by a Financial Institution of Refinancing (FIR) which can go up to 50%.</t>
    </r>
    <r>
      <rPr>
        <b/>
        <sz val="10"/>
        <color theme="1"/>
        <rFont val="Arial Nova"/>
        <family val="2"/>
      </rPr>
      <t xml:space="preserve">
Direct lending: </t>
    </r>
    <r>
      <rPr>
        <sz val="10"/>
        <color theme="1"/>
        <rFont val="Arial Nova"/>
        <family val="2"/>
      </rPr>
      <t>SMGF grants direct loan for a maximum period of 1 year and in the range of 5 million and 50 million francs.</t>
    </r>
  </si>
  <si>
    <t>Micro: 
i) Net capital investment of Less than 0.5million RwF
ii) Annual turnover of Less than 0.3 million RwF
iii) Number of employees 1 to 3
Small:
i) Net capital investment of 0.5-15 million RwF
ii) Annual turnover of 0.3-12 million RwF
iii) Number of employees 4 to 30
Medium: 
i) Net capital investment of 15-75 million RwF
ii) Annual turnover of 12 to 50 million RwF
iii) Number of employees 31 to 101</t>
  </si>
  <si>
    <t>http://www.smeportal.gov.rw/IMG/pdf/sme_business_guide-final.2-4.pdf</t>
  </si>
  <si>
    <t>Business Partners International Rwanda SME Fund</t>
  </si>
  <si>
    <t>Micro enterprises, Rural livelihoods, Start ups</t>
  </si>
  <si>
    <t xml:space="preserve">Agriculture, Construction </t>
  </si>
  <si>
    <t>* Provide loan finance ranging from R500 000 to R50 million to all business owners who have a viable formal business and require finance for expansion, working capital, equipment, takeovers, property, franchises or management buy-outs.</t>
  </si>
  <si>
    <r>
      <t>Credit guarantee:
*</t>
    </r>
    <r>
      <rPr>
        <sz val="10"/>
        <color theme="1"/>
        <rFont val="Arial Nova"/>
        <family val="2"/>
      </rPr>
      <t xml:space="preserve"> The maximum amount guaranteed by the fund is limited to Rwandan Francs Five Hundred Million (Rwf 500.000.000). 
* The fund shall guarantee to the extent of 50 - 75% of the initial total risk of the PFI without going beyond the grant ceiling.
* For loans granted to Microfinance Institutions, the guarantee fund is limited to 30% of the total risk and the ceiling is fixed at Rwandan Francs One Hundred Million (Rwf100.000.000).</t>
    </r>
    <r>
      <rPr>
        <b/>
        <sz val="10"/>
        <color theme="1"/>
        <rFont val="Arial Nova"/>
        <family val="2"/>
      </rPr>
      <t xml:space="preserve">
Grants and subsidies:
*</t>
    </r>
    <r>
      <rPr>
        <sz val="10"/>
        <color theme="1"/>
        <rFont val="Arial Nova"/>
        <family val="2"/>
      </rPr>
      <t xml:space="preserve"> Loans up to RWF 10 million receive a grant of 25% of the investment loan, while loans above this receive a grant of 20% of the investment  (Primary Agricultural Production). Project costs can be between RWF 1-50 million.
* Loans up to RWF 50 million will receive a grant of 25% of the investment loan, while loans above this will receive 20% of the investment (Processing of agricultural products).  Project costs can be between RWF 2-150 million. 
* Loans will receive a grant worth 15% of the investment loan (Agricultural support services). Project costs can be between RWF 2-150 million.</t>
    </r>
  </si>
  <si>
    <r>
      <t>Micro: 
i) Net capital investment of Less than 0.5million RwF
ii) Annual turnover of Less than 0.3 million RwF
iii) Number of employees 1 to 3
Small:
i) Net capital investment of 0.5-15 million RwF
ii) Annual turnover of 0.3-12 million RwF
iii) Number of employees 4 to 30
Medium: 
i) Net capital investment of 15-75 million RwF
ii) Annual turnover of 12 to 50 million RwF
iii) Number of employees 31 to 102</t>
    </r>
    <r>
      <rPr>
        <sz val="11"/>
        <color theme="1"/>
        <rFont val="Calibri"/>
        <family val="2"/>
        <scheme val="minor"/>
      </rPr>
      <t/>
    </r>
  </si>
  <si>
    <t>Covid relief for SME's</t>
  </si>
  <si>
    <t>KfW (German development bank)</t>
  </si>
  <si>
    <t>Bank of Kigali Plc. (BK) and I&amp;M Bank Rwanda Plc. (IMBR) have launched a project with the Investing for Employment (IFE)</t>
  </si>
  <si>
    <t>* To enable the beneficiary SMEs to maintain the largest share of their employees and to support them in their economic recovery.</t>
  </si>
  <si>
    <r>
      <rPr>
        <b/>
        <sz val="10"/>
        <color theme="1"/>
        <rFont val="Arial Nova"/>
        <family val="2"/>
      </rPr>
      <t>Grants and subsidies:</t>
    </r>
    <r>
      <rPr>
        <sz val="10"/>
        <color theme="1"/>
        <rFont val="Arial Nova"/>
        <family val="2"/>
      </rPr>
      <t xml:space="preserve">
*  The German Government, through the KfW IFE, will provide a total grant funding of EUR 10.7 million, which both banks will deploy to selected SMEs in their portfolios suffering from the negative effects of Covid-19 related restrictions. 
* Each bank will supplement these grants by providing additional credit relief to their pre-selected SME clients from own sources. The interventions are expected to preserve approximately 10,000 jobs.</t>
    </r>
  </si>
  <si>
    <t>Over 400 SME's</t>
  </si>
  <si>
    <t>http://hope-mag.com/index.php?com=news&amp;option=read&amp;ca=1&amp;a=4709
https://taarifa.rw/german-government-signs-bk-im-bank-rwf10b-grant-for-rwandan-smes/</t>
  </si>
  <si>
    <t>Business Development Fund (BFD)</t>
  </si>
  <si>
    <t>Rwanda government and Development Bank of Rwanda</t>
  </si>
  <si>
    <t>Development Bank of Rwanda</t>
  </si>
  <si>
    <t>* Consolidate and manage all existing GoR funds available to SMEs.
* Develop mechanism to enhance SMEs and special groups easy access to finance.
* Tailor conditions and requirements to make simple SME and PFI participation.
* Scale up services and components to facilitate SMEs at all stages of their business cycle.
* Design banking products to respond to SMEs needs.</t>
  </si>
  <si>
    <r>
      <rPr>
        <b/>
        <sz val="10"/>
        <color theme="1"/>
        <rFont val="Arial Nova"/>
        <family val="2"/>
      </rPr>
      <t xml:space="preserve">Credit guarantee: </t>
    </r>
    <r>
      <rPr>
        <sz val="10"/>
        <color theme="1"/>
        <rFont val="Arial Nova"/>
        <family val="2"/>
      </rPr>
      <t xml:space="preserve">The initiative of BDF with financial institutions (Banks, MFIs and SACCOs) to cover between 50 and 75% of collateral required by the lending institution strengths the financial inclusion and is broadly recognized as critical in reducing poverty and achieving inclusive economic growth. The Business Development Fund (BDF) and provides up to 75% of credit guarantee.
</t>
    </r>
    <r>
      <rPr>
        <b/>
        <sz val="10"/>
        <color theme="1"/>
        <rFont val="Arial Nova"/>
        <family val="2"/>
      </rPr>
      <t xml:space="preserve">Capacity Building MSMEs: </t>
    </r>
    <r>
      <rPr>
        <sz val="10"/>
        <color theme="1"/>
        <rFont val="Arial Nova"/>
        <family val="2"/>
      </rPr>
      <t xml:space="preserve">BDF provides trainings in different areas of investments including trainings to MFIs &amp; SACCOs, trainings to individual and group of entrepreneurs.
</t>
    </r>
    <r>
      <rPr>
        <b/>
        <sz val="10"/>
        <color theme="1"/>
        <rFont val="Arial Nova"/>
        <family val="2"/>
      </rPr>
      <t xml:space="preserve">Grants and subsidies: </t>
    </r>
    <r>
      <rPr>
        <sz val="10"/>
        <color theme="1"/>
        <rFont val="Arial Nova"/>
        <family val="2"/>
      </rPr>
      <t>A grant of 15 % of the total loan disbursed is also provided which would easily stimulate women and youth to access funds for development.</t>
    </r>
  </si>
  <si>
    <t>National Employment Program (NEP). BDF is tasked with being the implementing agency for NEP Pillar 2 on entrepreneurship</t>
  </si>
  <si>
    <t>Cumulatively 10,500 projects have received credit guarantee support. To over 16,000 projects received grant support.</t>
  </si>
  <si>
    <t xml:space="preserve">In 2019, BDF provided credit guarantees worth Rwf 3.6 Billion
to 1, 186 projects with cumulative credit guarantee approvals
totaling Rwf 62.5 Billion. Grantsdisbursements for the year wereRwf 7.2 billion for 2,238 projects
reaching a cumulative high of Rwf 15.6 billion </t>
  </si>
  <si>
    <t>https://www.bdf.rw/wp-content/uploads/2020/10/BDF_Annual-Report-2019-1.pdf
https://www.bdf.rw/bdf-profile/
http://197.243.22.137/migeprof/fileadmin/user_upload/Women_and_Youth_Access_to_Finance_Strategy.pdf</t>
  </si>
  <si>
    <t>Inkomoko and Mastercard Foundation Covid-19 grant relief</t>
  </si>
  <si>
    <t xml:space="preserve"> Mastercard Foundation</t>
  </si>
  <si>
    <t>Inkomoko</t>
  </si>
  <si>
    <t>Agriculture, Services</t>
  </si>
  <si>
    <t>* To support Rwandan businesses to relaunch or rebuild after being negatively impacted by the COVID-19 pandemic.</t>
  </si>
  <si>
    <r>
      <rPr>
        <b/>
        <sz val="10"/>
        <color theme="1"/>
        <rFont val="Arial Nova"/>
        <family val="2"/>
      </rPr>
      <t>Grants and subsidies:</t>
    </r>
    <r>
      <rPr>
        <sz val="10"/>
        <color theme="1"/>
        <rFont val="Arial Nova"/>
        <family val="2"/>
      </rPr>
      <t xml:space="preserve">
* The US$2.3M fund will be distributed to 3,500 beneficiaries beginning with 1000 in the first phase where applicants can secure US$100 to US$8,000. The first phase took place on World Refugee day (20th of June 2020) within a refugee community.
* 55% of the Inkomoko Relief fund will go to medium-sized enterprises, 27% to small businesses, and 18% to micro-businesses. </t>
    </r>
  </si>
  <si>
    <t>3500 MSME's to be supported by the grant</t>
  </si>
  <si>
    <t>1000 MSME's in the first phase</t>
  </si>
  <si>
    <t>https://taarifa.rw/mastercard-inkomoko-earmark-us2-3m-fund-for-small-businesses/
https://www.inkomoko.com/news/1000-entrepreneurs-within-refugee-communities-in-rwanda-to-benefit-from-economic-recovery-grants-on-world-refugee-day</t>
  </si>
  <si>
    <t>Rwanda SME Fund</t>
  </si>
  <si>
    <t xml:space="preserve">International Finance Corporation, Rwanda Enterprise Investment Company (REIC), Rwanda Enterprise Investment Company
(REIC) , and other development partners </t>
  </si>
  <si>
    <t>Business partners International (BPI)</t>
  </si>
  <si>
    <t>Equity investment or incentives, Credit guarantee, Enabling infrastructure</t>
  </si>
  <si>
    <t>* To provide access to funding and technical assistance support for SMEs, thereby increasing employment and fostering local entrepreneurship in Rwanda.</t>
  </si>
  <si>
    <r>
      <t xml:space="preserve">BPI’s Rwanda Fund makes use of debt, equity, or a combination of both; since inception, however, it has mainly used debt. $50k – $1m (average $250k) disbursed in local currency.The total fund size is $8 million. 
</t>
    </r>
    <r>
      <rPr>
        <b/>
        <sz val="10"/>
        <color theme="1"/>
        <rFont val="Arial Nova"/>
        <family val="2"/>
      </rPr>
      <t>Equity investments or incentives:</t>
    </r>
    <r>
      <rPr>
        <sz val="10"/>
        <color theme="1"/>
        <rFont val="Arial Nova"/>
        <family val="2"/>
      </rPr>
      <t xml:space="preserve"> In the case of equity, BPI takes up to a 45 percent stake. BPI favors revenue-sharing investments whereby investees give royalties whose size can vary, although it is always calculated as a percentage of the monthly revenues. 
</t>
    </r>
    <r>
      <rPr>
        <b/>
        <sz val="10"/>
        <color theme="1"/>
        <rFont val="Arial Nova"/>
        <family val="2"/>
      </rPr>
      <t xml:space="preserve">Credit guarantee: </t>
    </r>
    <r>
      <rPr>
        <sz val="10"/>
        <color theme="1"/>
        <rFont val="Arial Nova"/>
        <family val="2"/>
      </rPr>
      <t xml:space="preserve">In the case of debt financing, collateral is preferred, but not required. That said, in BPI’s view it is in the investee’s interest to present some collateralized assets, since BPI’s debt price is based on risk (and the lesser the collateral, the higher the risk). The interest rate charged by BPI is the base rate (16.5 percent), with a royalty addition. 
</t>
    </r>
    <r>
      <rPr>
        <b/>
        <sz val="10"/>
        <color theme="1"/>
        <rFont val="Arial Nova"/>
        <family val="2"/>
      </rPr>
      <t>Capacity building MSMEs:</t>
    </r>
    <r>
      <rPr>
        <sz val="10"/>
        <color theme="1"/>
        <rFont val="Arial Nova"/>
        <family val="2"/>
      </rPr>
      <t xml:space="preserve">
* The fund has a dedicated $300,000 TA facility from which investees can take interestfree loans to pay for the support of external consultants, preselected by BPI. * * The TA loan per investee is capped at 30 percent of the total investment size.</t>
    </r>
  </si>
  <si>
    <t>70 SME's</t>
  </si>
  <si>
    <t xml:space="preserve">9 according to reports. However, Since its launch, BPI’s Rwanda Fund has received and reviewed around 120 business plans submitted
from businesses in a variety of sectors and maturity stages. It has approved nine investments, of which four have already been paid out for; disbursement is imminent
also for the remaining five. </t>
  </si>
  <si>
    <t>https://www.infodev.org/infodev-files/web_east_africa_report.pdf
http://www.minicom.gov.rw/index.php?id=24&amp;tx_ttnews[tt_news]=260&amp;cHash=04f438311552c543f654f9c9641b753c
https://make-it-initiative.org/africa/wp-content/uploads/sites/2/2020/03/Investment_Guide_Rwanda_V2.pdf</t>
  </si>
  <si>
    <t>Export Growth Fund</t>
  </si>
  <si>
    <t>Government of Rwanda</t>
  </si>
  <si>
    <t>Development Bank of Rwanda (BRD)</t>
  </si>
  <si>
    <t>Grants and subsidies, Credit guarantee, Direct lending, Enabling infrastructure</t>
  </si>
  <si>
    <t>* To broaden the range of financial services of Rwanda’s formal finance sector.
* To facilitate access of export-oriented SMEs (with a turnover ranging between 50,000 to 1M $) with growth potential to tailored export finance products and services.
* To provide access to finance at competitive prices for Export oriented SMEs.
* Improve knowledge of SMEs on export related finance via Technical assistance.
* Improve knowledge of finance institutions on export-related financing instruments and related business appraisal.</t>
  </si>
  <si>
    <r>
      <rPr>
        <b/>
        <sz val="10"/>
        <color theme="1"/>
        <rFont val="Arial Nova"/>
        <family val="2"/>
      </rPr>
      <t xml:space="preserve">Grants and subsidies: </t>
    </r>
    <r>
      <rPr>
        <sz val="10"/>
        <color theme="1"/>
        <rFont val="Arial Nova"/>
        <family val="2"/>
      </rPr>
      <t xml:space="preserve">Matching Grant Fund for Market Entry Related Costs: Matching grant to firms investing in activities specific to exporting that are not necessarily a consideration when not exporting.
</t>
    </r>
    <r>
      <rPr>
        <b/>
        <sz val="10"/>
        <color theme="1"/>
        <rFont val="Arial Nova"/>
        <family val="2"/>
      </rPr>
      <t xml:space="preserve">Credit guarantee: </t>
    </r>
    <r>
      <rPr>
        <sz val="10"/>
        <color theme="1"/>
        <rFont val="Arial Nova"/>
        <family val="2"/>
      </rPr>
      <t xml:space="preserve">Export Guarantee Facility: Provide transaction-related guarantees to commercial banks to securitize export finance transactions up to 80% of value.
</t>
    </r>
    <r>
      <rPr>
        <b/>
        <sz val="10"/>
        <color theme="1"/>
        <rFont val="Arial Nova"/>
        <family val="2"/>
      </rPr>
      <t>Direct lending:</t>
    </r>
    <r>
      <rPr>
        <sz val="10"/>
        <color theme="1"/>
        <rFont val="Arial Nova"/>
        <family val="2"/>
      </rPr>
      <t xml:space="preserve"> Investment Catalyst Fund: Provision of a subsidy on the interest rate of loans targeted toward private sector investments in export oriented production.
</t>
    </r>
    <r>
      <rPr>
        <b/>
        <sz val="10"/>
        <color theme="1"/>
        <rFont val="Arial Nova"/>
        <family val="2"/>
      </rPr>
      <t xml:space="preserve">Capacity building financial institutions: </t>
    </r>
    <r>
      <rPr>
        <sz val="10"/>
        <color theme="1"/>
        <rFont val="Arial Nova"/>
        <family val="2"/>
      </rPr>
      <t>BRD will also provide technical assistance to improve partnering financing institutions capacity to develop tailor made products to export oriented SMEs.</t>
    </r>
  </si>
  <si>
    <t>31 export projects have been financed at a tune of Rwf5.4 billion and Rwf6 billion line of credit has been extended to partner commercial banks, since its operation in 2016.</t>
  </si>
  <si>
    <t>Overall, Rwf4.4 billion of investment has been approved to these projects in the past three years, almost Rwf500 million interest subsidy has been given out and Rwf758 million worth of grants have been approved.</t>
  </si>
  <si>
    <t>https://www.brd.rw/brd/wp-content/uploads/2020/06/BRD_Annual_Report_2019.pdf
https://allafrica.com/stories/201910310033.html
https://www.newtimes.co.rw/news/three-years-how-impactful-has-export-growth-fund-been
https://www.brd.rw/brd/proin-sodales-quam-nec-ante-sollicits/</t>
  </si>
  <si>
    <t>International Finance Corporation, Banco Internacional de São Tomé e Príncipe (BISTP) - state-owned bank</t>
  </si>
  <si>
    <t>Banco Internacional de São Tomé e Príncipe (BISTP) - state-owned bank</t>
  </si>
  <si>
    <t>* Supporting local small- and medium-sized enterprises.</t>
  </si>
  <si>
    <r>
      <rPr>
        <b/>
        <sz val="10"/>
        <color theme="1"/>
        <rFont val="Arial Nova"/>
        <family val="2"/>
      </rPr>
      <t>Direct lending</t>
    </r>
    <r>
      <rPr>
        <sz val="10"/>
        <color theme="1"/>
        <rFont val="Arial Nova"/>
        <family val="2"/>
      </rPr>
      <t>: The International Finance Corporation (IFC), the World Bank's private-sector arm, has agreed to provide US$3m to the Banco Internacional de São Tomé e Príncipe (BISTP) to help finance a new US$6m credit line aimed at supporting local small- and medium-sized enterprises (SMEs).</t>
    </r>
  </si>
  <si>
    <t>http://country.eiu.com/article.aspx?articleid=863453070&amp;Country=S%C3%A3o%20Tom%C3%A9%20and%20Pr%C3%ADncipe&amp;topic=Economy&amp;subtopic=Forecast&amp;subsubtopic=Policy+trends</t>
  </si>
  <si>
    <t>Projeto de Política Nacional de Emprego</t>
  </si>
  <si>
    <t>Ministry of Labour and Social Affairs</t>
  </si>
  <si>
    <t>* The aim is to improve the living conditions of the Santomeans and particularly women, young people and the underprivileged.</t>
  </si>
  <si>
    <r>
      <rPr>
        <b/>
        <sz val="10"/>
        <color theme="1"/>
        <rFont val="Arial Nova"/>
        <family val="2"/>
      </rPr>
      <t xml:space="preserve">Credit guarantee: </t>
    </r>
    <r>
      <rPr>
        <sz val="10"/>
        <color theme="1"/>
        <rFont val="Arial Nova"/>
        <family val="2"/>
      </rPr>
      <t>Implementing the financing instruments and mechanisms and interest rate guarantee for bank loans.</t>
    </r>
    <r>
      <rPr>
        <b/>
        <sz val="10"/>
        <color theme="1"/>
        <rFont val="Arial Nova"/>
        <family val="2"/>
      </rPr>
      <t xml:space="preserve">
Capacity building MSMEs</t>
    </r>
    <r>
      <rPr>
        <sz val="10"/>
        <color theme="1"/>
        <rFont val="Arial Nova"/>
        <family val="2"/>
      </rPr>
      <t>: To integrate, under the authority of a single institution, the different phases of the entrepreneurship process, i.e. awareness-raising guidance, training, follow-up on business creation processes and plan development business and financing, for greater complementarity, coherence, synergy and economy in the chain of entrepreneurship; ensuring the empowerment of women and
young people to manage the credits they take out with a view to making their
business.</t>
    </r>
  </si>
  <si>
    <t>https://info.undp.org/docs/pdc/Documents/STP/POLITIQUE%20NATIONALE%20EMPLOI.pdf</t>
  </si>
  <si>
    <t>Relatório de Inquérito Rápido às Empresas</t>
  </si>
  <si>
    <t>Banco Central de S. Tomé e Príncipe</t>
  </si>
  <si>
    <t>* Assess the impact of the pandemic in business activity, more specifically in the evolution of the
turnover, number of staff employed by companies, and the reaction of the companies faced with the implementation of measures to mitigate the effects of the pandemic.</t>
  </si>
  <si>
    <r>
      <rPr>
        <b/>
        <sz val="10"/>
        <color theme="1"/>
        <rFont val="Arial Nova"/>
        <family val="2"/>
      </rPr>
      <t>Constraint/landscape assessment</t>
    </r>
    <r>
      <rPr>
        <sz val="10"/>
        <color theme="1"/>
        <rFont val="Arial Nova"/>
        <family val="2"/>
      </rPr>
      <t>: The Central Bank of S. Tomé and Príncipe as part of its task of producing studies and analysis of the national economy held between 17 and 30 June 2020 a rapid survey of micro, small, medium and large enterprises, representative of the various sectors of economic activity, with a view to identifying assess and monitor the main impacts of this pandemic on activity national economy.</t>
    </r>
  </si>
  <si>
    <t>http://www.bcstp.st/Upload/New_DOC/Rel_Inq_%20Impacto_Covid_19_Jun_%202020-1.pdf</t>
  </si>
  <si>
    <t>Plano de Acção para o Desenvolvimento do Sector Financeiro: 2017-2019</t>
  </si>
  <si>
    <t>World Bank</t>
  </si>
  <si>
    <t>Capacity building MSMEs, Constraint/landscape assessment, Other</t>
  </si>
  <si>
    <t>* A stable, competitive and inclusive financial system is an essential precondition for the
long-term growth - increasing access to credit is key to ensuring that MSMEs have the resources
necessary to invest, without which growth would remain highly susceptible to massive fluctuations in FDI and commodity price flows.</t>
  </si>
  <si>
    <r>
      <rPr>
        <b/>
        <sz val="10"/>
        <color theme="1"/>
        <rFont val="Arial Nova"/>
        <family val="2"/>
      </rPr>
      <t>Capacity building MSMEs:</t>
    </r>
    <r>
      <rPr>
        <sz val="10"/>
        <color theme="1"/>
        <rFont val="Arial Nova"/>
        <family val="2"/>
      </rPr>
      <t xml:space="preserve"> In this context, the PADSF recommends the establishment of an organisation accounting professional who supports MSMEs in preparing accounting reports and financial statements.
</t>
    </r>
    <r>
      <rPr>
        <b/>
        <sz val="10"/>
        <color theme="1"/>
        <rFont val="Arial Nova"/>
        <family val="2"/>
      </rPr>
      <t>Constraint/landscape assessment:</t>
    </r>
    <r>
      <rPr>
        <sz val="10"/>
        <color theme="1"/>
        <rFont val="Arial Nova"/>
        <family val="2"/>
      </rPr>
      <t xml:space="preserve"> Promotion of a business survey to to understand more deeply the financing constraints to MSMEs.
</t>
    </r>
    <r>
      <rPr>
        <b/>
        <sz val="10"/>
        <color theme="1"/>
        <rFont val="Arial Nova"/>
        <family val="2"/>
      </rPr>
      <t>Other:</t>
    </r>
    <r>
      <rPr>
        <sz val="10"/>
        <color theme="1"/>
        <rFont val="Arial Nova"/>
        <family val="2"/>
      </rPr>
      <t xml:space="preserve"> Developing a sound audit and accounting infrastructure and related standards establishing the OTOCA (professional accounting organisation), create legislation setting audit standards and updating the accounting plan.</t>
    </r>
  </si>
  <si>
    <t>Micro: 1-3  employees; maximum annual income of 90 million dobras
Small: 3-12  employees; maximum annual income of 90-99 million dobras
Medium: 12-3  employees; maximum annual income of  900-2,250 million dobras</t>
  </si>
  <si>
    <t>http://www.bcstp.st/Upload/Documentos/Organizacao_Documental/PADSF_Final_Dezembro2015.pdf</t>
  </si>
  <si>
    <t>Ministère des Petites et Moyennes Entreprises et de la Micro-Finance</t>
  </si>
  <si>
    <t>Minister of the Interior and local authorities</t>
  </si>
  <si>
    <t>Minister of Small and Medium Enterprises and Microfinance</t>
  </si>
  <si>
    <t>* Creating small and medium enterprises, particularly in the sectors of services, industry, agriculture, livestock, fishing. and new information and communication technologies.</t>
  </si>
  <si>
    <r>
      <rPr>
        <b/>
        <sz val="10"/>
        <color theme="1"/>
        <rFont val="Arial Nova"/>
        <family val="2"/>
      </rPr>
      <t xml:space="preserve">Regulatory environment: </t>
    </r>
    <r>
      <rPr>
        <sz val="10"/>
        <color theme="1"/>
        <rFont val="Arial Nova"/>
        <family val="2"/>
      </rPr>
      <t>To contribute to strengthening the mechanism for the creation, support and development of small and medium-sized enterprises. companies and participate in the development of a development strategy for the microfinance sector.</t>
    </r>
  </si>
  <si>
    <t>La Direction des Petites et Moyennes Entreprises, La Direction de la Micro Finance</t>
  </si>
  <si>
    <t>DECREE n ° 2004-100 of February 6, 2004, on the organization of the Ministry of Small and Medium Enterprises and Micro Finance.</t>
  </si>
  <si>
    <t xml:space="preserve">http://www.jo.gouv.sn/spip.php?article2244 </t>
  </si>
  <si>
    <t>Charte
des Petites et Moyennes Entreprises
du Sénégal</t>
  </si>
  <si>
    <t>December 2003</t>
  </si>
  <si>
    <t>Ministry of Small and Medium Enterprises and Micro-Finance</t>
  </si>
  <si>
    <t>Charter Monitoring Unit</t>
  </si>
  <si>
    <t>* To set up a framework institutional and legal promotion of SMEs articulated around structures and mechanisms for dialogue and partnership with operators, institutions representatives of SMEs and development partners.</t>
  </si>
  <si>
    <r>
      <rPr>
        <b/>
        <sz val="10"/>
        <color theme="1"/>
        <rFont val="Arial Nova"/>
        <family val="2"/>
      </rPr>
      <t xml:space="preserve">Credit guarantee:
* </t>
    </r>
    <r>
      <rPr>
        <sz val="10"/>
        <color theme="1"/>
        <rFont val="Arial Nova"/>
        <family val="2"/>
      </rPr>
      <t xml:space="preserve">The Guarantee Fund ensures up to 75% repayment of the principal amount of theloan granted by the intervening institutions, plus normal interest and, whereif applicable, late payment interest. This guarantee is granted in the form of an endorsement.
* A commission settled at the rate of 1.5% on the basis of the amount of theguarantee granted, payable by the beneficiary of the loan and payable bydeduction from the various releases of the loan granted according to theiramounts. </t>
    </r>
    <r>
      <rPr>
        <b/>
        <sz val="10"/>
        <color theme="1"/>
        <rFont val="Arial Nova"/>
        <family val="2"/>
      </rPr>
      <t xml:space="preserve">
Direct lending:
* </t>
    </r>
    <r>
      <rPr>
        <sz val="10"/>
        <color theme="1"/>
        <rFont val="Arial Nova"/>
        <family val="2"/>
      </rPr>
      <t>Any project selected can benefit from a loan of an amount equal to a maximum of 10,000,000F CFA in the case of an individual project and 30,000,000 F CFA in the case of projectscarried out by SMEs or groups of SMEs.
* Specific measures intended to promote the emergence of female entrepreneurship will be initiated in accordance with the strategy of the Ministry in charge of Women Entrepreneurship.Among the 30% of contracts reserved for SMEs, 20% will be reserved for companiesowned and managed by women subject to justification of skills andthe required qualifications.</t>
    </r>
    <r>
      <rPr>
        <b/>
        <sz val="10"/>
        <color theme="1"/>
        <rFont val="Arial Nova"/>
        <family val="2"/>
      </rPr>
      <t xml:space="preserve">
Incentives to financial institutions: </t>
    </r>
    <r>
      <rPr>
        <sz val="10"/>
        <color theme="1"/>
        <rFont val="Arial Nova"/>
        <family val="2"/>
      </rPr>
      <t>Building the capacities of financial Institutes to enable them to improve services provided to SMEs.</t>
    </r>
  </si>
  <si>
    <t>Micro and very small: 
i) Between 01 and 20 employees
ii) Annual tax-free turnover not reaching the following limits defined within the framework of the “synthetic” tax: 50 million CFA francs for PEs that carry out operations of deliveries of goods; 25 million CFA francs for PEs which carry out operations of services ; 50 million CFA francs for PEs carrying out operations mixed as defined by the texts relating to the said tax.
Medium: 
i) Less than 250 employees
ii) Annual turnover excluding tax between the limits set and 15 billion CFA francs
iii) Net investment less than or equal to 1 billion CFA francs.</t>
  </si>
  <si>
    <t xml:space="preserve">http://www.servicepublic.gouv.sn/assets/textes/D-charte-pme.pdf </t>
  </si>
  <si>
    <t>l’Agence de Développement et d’Encadrement des Petites et Moyennes Entreprises</t>
  </si>
  <si>
    <t xml:space="preserve">* Densify the fabric of SMEs; Assist and supervise small and medium-sized enterprises as well as micro-enterprises which request it or which benefit from State loans; and strengthening the competitiveness of SMEs. </t>
  </si>
  <si>
    <r>
      <rPr>
        <b/>
        <sz val="10"/>
        <color theme="1"/>
        <rFont val="Arial Nova"/>
        <family val="2"/>
      </rPr>
      <t>Capacity building MSMEs:</t>
    </r>
    <r>
      <rPr>
        <sz val="10"/>
        <color theme="1"/>
        <rFont val="Arial Nova"/>
        <family val="2"/>
      </rPr>
      <t xml:space="preserve"> 
*Strengthen the competitiveness of SMEs through training and measures taken for Senegal's economic, political and social institutions.
*Assist and supervise small and medium-sized enterprises as well as micro-enterprises that apply for it or benefit from government loans.
</t>
    </r>
    <r>
      <rPr>
        <b/>
        <sz val="10"/>
        <color theme="1"/>
        <rFont val="Arial Nova"/>
        <family val="2"/>
      </rPr>
      <t>Grants and subsidies:</t>
    </r>
    <r>
      <rPr>
        <sz val="10"/>
        <color theme="1"/>
        <rFont val="Arial Nova"/>
        <family val="2"/>
      </rPr>
      <t xml:space="preserve">
* The Cost-shared fund (FFP) is a subsidy scheme to make it easier for SMEs to access consulting services. SMEs can benefit from subsidies of three types:
i) Technical assistance: 50% of consulting fees. In this lot are all assistance missions such as the establishment of an information system, the quality approach/certification, the implementation of management tools, commercial promotion, market research and business strategy, etc.
ii) Training: 75% of the cost of training.
iii) Employability program: 70% for individual support and 90% for group support. This is a programme being implemented with AFD and concerns areas with high immigration, namely the regions of Louga, St. Louis, Matam, Tambacounda, Kédougou, Sedhiou, Kolda and Ziguinchor.</t>
    </r>
  </si>
  <si>
    <t>Programme Labellisation, Programme Réussir au SENEGAL, Mécanisme de transfert de technologie, Programme d’Appui aux Initiatives de Solidarité pour le Développement, Programme d’Appui aux Initiatives de Solidarité pour le Développement, Plateforme COVID 19</t>
  </si>
  <si>
    <t>decree n ° 2001 -1036 of November 29, 2001 modified by decree n ° 2013-996 of July 16, 2013</t>
  </si>
  <si>
    <t xml:space="preserve">https://adepme.sn/index.php/about-us/ </t>
  </si>
  <si>
    <t>Programme Labellisation</t>
  </si>
  <si>
    <t>May 2005</t>
  </si>
  <si>
    <t>ADEPME in partnership with the Association of Professionals of Banks and Financial Institutions of Senegal (APBEF)</t>
  </si>
  <si>
    <t>Capacity building financial institutions, Credit information system</t>
  </si>
  <si>
    <t>* To contribute to improving the access of small and medium-sized enterprises to credit.</t>
  </si>
  <si>
    <r>
      <rPr>
        <b/>
        <sz val="10"/>
        <color theme="1"/>
        <rFont val="Arial Nova"/>
        <family val="2"/>
      </rPr>
      <t xml:space="preserve">Capacity building financial institutions: </t>
    </r>
    <r>
      <rPr>
        <sz val="10"/>
        <color theme="1"/>
        <rFont val="Arial Nova"/>
        <family val="2"/>
      </rPr>
      <t xml:space="preserve">The promotion of young entrepreneurs and the development of SMEs throaugh training, coaching, technical assistance and financing for the acquisition of equipment and packaging.
</t>
    </r>
    <r>
      <rPr>
        <b/>
        <sz val="10"/>
        <color theme="1"/>
        <rFont val="Arial Nova"/>
        <family val="2"/>
      </rPr>
      <t>Credit information system:</t>
    </r>
    <r>
      <rPr>
        <sz val="10"/>
        <color theme="1"/>
        <rFont val="Arial Nova"/>
        <family val="2"/>
      </rPr>
      <t xml:space="preserve">
* Assessment of the credit risk of the company and its sector.
* SME Scorecard, which uses SME ratings and scoring tools to assess a company's creditworthiness over 3 years.
* Coordinate ideas on the Bank and SMEs and compensate for the asymmetry of information between these two entities.</t>
    </r>
  </si>
  <si>
    <t xml:space="preserve">https://adepme.sn/index.php/programme-labellisation/ </t>
  </si>
  <si>
    <t>Mécanisme de transfert de technologie</t>
  </si>
  <si>
    <r>
      <rPr>
        <b/>
        <sz val="10"/>
        <color theme="1"/>
        <rFont val="Arial Nova"/>
        <family val="2"/>
      </rPr>
      <t xml:space="preserve">Capacity building financial institutions: </t>
    </r>
    <r>
      <rPr>
        <sz val="10"/>
        <color theme="1"/>
        <rFont val="Arial Nova"/>
        <family val="2"/>
      </rPr>
      <t xml:space="preserve">The promotion of young entrepreneurs and the development of SMEs through training, coaching, technical assistance and financing for the acquisition of equipment and packaging.
</t>
    </r>
    <r>
      <rPr>
        <b/>
        <sz val="10"/>
        <color theme="1"/>
        <rFont val="Arial Nova"/>
        <family val="2"/>
      </rPr>
      <t>Credit information system:</t>
    </r>
    <r>
      <rPr>
        <sz val="10"/>
        <color theme="1"/>
        <rFont val="Arial Nova"/>
        <family val="2"/>
      </rPr>
      <t xml:space="preserve">
* Assessment of the credit risk of the company and its sector.
* SME Scorecard, which uses SME ratings and scoring tools to assess a company's creditworthiness over 3 years.
* Coordinate ideas on the Bank and SMEs and compensate for the asymmetry of information between these two entities.</t>
    </r>
  </si>
  <si>
    <t>https://adepme.sn/index.php/iso-program-india-senegal-overseas/
https://www.ifc.org/wps/wcm/connect/news_ext_content/ifc_external_corporate_site/news+and+events/news/leasing_senegal</t>
  </si>
  <si>
    <t>Programme Réussir au SENEGAL</t>
  </si>
  <si>
    <t>* The main objective of this program is to contribute to improving the access of small and medium-sized enterprises to credit.</t>
  </si>
  <si>
    <t>https://adepme.sn/index.php/programme-reussir/</t>
  </si>
  <si>
    <t>Plateforme COVID 19</t>
  </si>
  <si>
    <t>* To complete the response plan put in place by the state of Senegal in order to ensure that the most vulnerable economic components are taken into account.</t>
  </si>
  <si>
    <t>https://adepme.sn/index.php/plateforme-covid-19/</t>
  </si>
  <si>
    <t>Fonds de Garantie des Investissements Prioritaires (FONGIP)</t>
  </si>
  <si>
    <t>May 2013</t>
  </si>
  <si>
    <t>* To act in complementarity with other public entities in the financial ecosystem in order to mobilize public and private financial resources intended for MSMEs by providing greater comfort to financial institutions.</t>
  </si>
  <si>
    <r>
      <rPr>
        <b/>
        <sz val="10"/>
        <color theme="1"/>
        <rFont val="Arial Nova"/>
        <family val="2"/>
      </rPr>
      <t xml:space="preserve">Direct lending: </t>
    </r>
    <r>
      <rPr>
        <sz val="10"/>
        <color theme="1"/>
        <rFont val="Arial Nova"/>
        <family val="2"/>
      </rPr>
      <t xml:space="preserve">Refinance micro-finance institutions to enable them to grant loans to Micro Small and Medium Enterprises (MSMEs), women's and youth groups at subsidized interest rates.
</t>
    </r>
    <r>
      <rPr>
        <b/>
        <sz val="10"/>
        <color theme="1"/>
        <rFont val="Arial Nova"/>
        <family val="2"/>
      </rPr>
      <t xml:space="preserve">Credit guarantee: </t>
    </r>
    <r>
      <rPr>
        <sz val="10"/>
        <color theme="1"/>
        <rFont val="Arial Nova"/>
        <family val="2"/>
      </rPr>
      <t>Guarantee bank loans to finance growth-promoting projects in priority sectors.</t>
    </r>
  </si>
  <si>
    <t>Decree in May 2013</t>
  </si>
  <si>
    <t>Broken down by region on website</t>
  </si>
  <si>
    <t>FONGIP has already provided 47.09 billion FCFA in guarantee and refinancing for 30,399 jobs created and consolidated.</t>
  </si>
  <si>
    <t xml:space="preserve">http://www.fongip.sn/ </t>
  </si>
  <si>
    <t>Strengthening the capacity of Senegalese SMEs</t>
  </si>
  <si>
    <t>Ministry of Industry and SMEs, Ministry of Finance, Bureau de mise a niveau, Senegal Agence Francaise de Developpement</t>
  </si>
  <si>
    <t>* The objective of the project was to assist SMEs and help them adapt their capacity to the requirements of international trade.</t>
  </si>
  <si>
    <r>
      <rPr>
        <b/>
        <sz val="10"/>
        <color theme="1"/>
        <rFont val="Arial Nova"/>
        <family val="2"/>
      </rPr>
      <t xml:space="preserve">Capacity building MSMEs: </t>
    </r>
    <r>
      <rPr>
        <sz val="10"/>
        <color theme="1"/>
        <rFont val="Arial Nova"/>
        <family val="2"/>
      </rPr>
      <t>Selected companies benefited from advisory services delivered by local consultants and financed by the project.</t>
    </r>
  </si>
  <si>
    <t>Turnover of less than 30 billion FCFA for the overall upgrade</t>
  </si>
  <si>
    <t>115 approved files</t>
  </si>
  <si>
    <t>9.10% increase in number of permanent jobs</t>
  </si>
  <si>
    <t xml:space="preserve">
https://www.bmn.sn/PRESENTATION-Le-Bureau-de-Mise-a-Niveau-BMN.html
https://www.bmn.sn/IMG/pdf/hors_serie_bmn-min.pdf
https://www.enterprise-development.org/wp-content/uploads/ScalingUp_SME_Access_to_Financial_Services.pdf</t>
  </si>
  <si>
    <t>CFA Franc facility for SMEs and Large Enterprises</t>
  </si>
  <si>
    <t>Government of Senegal</t>
  </si>
  <si>
    <t>Professional Association of Banks and Financial Institutions of Senegal (Apbefs)</t>
  </si>
  <si>
    <t>Adversely businesses by Covid-19</t>
  </si>
  <si>
    <t>* To provide financing to companies affected by COVID-19.</t>
  </si>
  <si>
    <r>
      <rPr>
        <b/>
        <sz val="10"/>
        <color theme="1"/>
        <rFont val="Arial Nova"/>
        <family val="2"/>
      </rPr>
      <t xml:space="preserve">Credit guarantee: </t>
    </r>
    <r>
      <rPr>
        <sz val="10"/>
        <color theme="1"/>
        <rFont val="Arial Nova"/>
        <family val="2"/>
      </rPr>
      <t>The loan benefits from a state guarantee of 40 to 60% depending on the size of the business. The interest rate is estimated to be about 3.5% excluding tax. In addition, the business should have lost 33% of it's turnover due to COVID-19.</t>
    </r>
  </si>
  <si>
    <t>Turnover of more than 100 million FCFA and employing at least 5 employees</t>
  </si>
  <si>
    <t>https://translate.google.com/translate?hl=en&amp;sl=fr&amp;u=https://covid19.economie.gouv.sn/en/node/106&amp;prev=search&amp;pto=aue</t>
  </si>
  <si>
    <t>Seed Capital Grant Scheme</t>
  </si>
  <si>
    <t>Department of Industry and Entrepreneurship Development</t>
  </si>
  <si>
    <t>Enterprise Seychelles Agency (ESA)</t>
  </si>
  <si>
    <t>* To fund small start-up businesses to assist them in their Early-stages of development.</t>
  </si>
  <si>
    <r>
      <rPr>
        <b/>
        <sz val="10"/>
        <color theme="1"/>
        <rFont val="Arial Nova"/>
        <family val="2"/>
      </rPr>
      <t xml:space="preserve">Early-stage financing: </t>
    </r>
    <r>
      <rPr>
        <sz val="10"/>
        <color theme="1"/>
        <rFont val="Arial Nova"/>
        <family val="2"/>
      </rPr>
      <t>The Ministry of Finance, Trade and Economic Planning (now Ministry of Finance Trade, Investment and the Economic Planning (MOFTIEP) has allocated a sum of SCR25 million for the scheme for the next five years beginning in 2017The Seed capital grant scheme provides capital of up to SCR50,000 to fund small start-up businesses to assist them in their Early-stages of development.</t>
    </r>
  </si>
  <si>
    <t>no legal/regulatory framework specified</t>
  </si>
  <si>
    <t>For the years 2017 and 2018, the Committee recorded 479 applications out of which 186 (39 per cent) were disbursed. Therefore, 186 businesess reached</t>
  </si>
  <si>
    <t xml:space="preserve">The value of disbursements was less than the budgeted sum of SCR10 million for the
two years by SCR946,412. </t>
  </si>
  <si>
    <t>https://www.oag.sc/reports/seed-capital/download
https://www.industry.gov.sc/policies-and-legislations/seed-capital-grant-scheme/download</t>
  </si>
  <si>
    <t>Small Business Fund Agency (SBFA)</t>
  </si>
  <si>
    <t>October 2018</t>
  </si>
  <si>
    <t>Government of Seychelles</t>
  </si>
  <si>
    <t>Small Business Fund Agency</t>
  </si>
  <si>
    <t xml:space="preserve">
* Process and approve applications for concessionary loans.
* Appraise and evaluate small business projects.
* Prepare and enter into loan agreements with small businesses.
* Maintain proper accounting records of all transactions.
* Evaluate, grant and monitor loans.
* Encourage and facilitate entrepreneurship in small business enterprises.</t>
  </si>
  <si>
    <r>
      <rPr>
        <b/>
        <sz val="10"/>
        <color theme="1"/>
        <rFont val="Arial Nova"/>
        <family val="2"/>
      </rPr>
      <t xml:space="preserve">Direct lending: </t>
    </r>
    <r>
      <rPr>
        <sz val="10"/>
        <color theme="1"/>
        <rFont val="Arial Nova"/>
        <family val="2"/>
      </rPr>
      <t xml:space="preserve">SBFA's focus is on micro-lending, with a cap of 300,000 SR and an interest rate ranging from 0 to 4% per annum. </t>
    </r>
  </si>
  <si>
    <t>Established by the Small Business Financing Agency Act, 2013</t>
  </si>
  <si>
    <t>Total loan approved in 2015 are 719 cases at a value of SR93.8 million
Total loan approved as at October 2016 are 502 cases for a value of SR71.95 million</t>
  </si>
  <si>
    <t>http://www.finance.gov.sc/uploads/national_budget/2017%20BUDGET%20SPEECH.pdf
https://seylii.org/sc/Act%2020%20of%202013%20Small%20Business%20Financing%20Agency%20Act%20%5Bgazetted%206%20January%202014%5D.pdf
https://www.tralac.org/images/News/Reports/Eastern%20Africas%20manufacturing%20sector%20Seychelles%20country%20report%20AfDB%20October%202014.pdf
http://www.finance.gov.sc/news/151/Loans-management-operations-of-the-Seychelles-Business-Financing-Agency-to-move-under-the-Development-Bank-of-Seychelles</t>
  </si>
  <si>
    <t>SME scheme</t>
  </si>
  <si>
    <t>Ministry of finance trade and investment</t>
  </si>
  <si>
    <t>Seychelles Credit Union, Development Bank of Seychelles (DBS)</t>
  </si>
  <si>
    <t>* To encourage commercial clients to adopt energy efficient and renewable energy products. For example solar PV systems, solar hot water, energy optimization and boat PV kits.</t>
  </si>
  <si>
    <r>
      <rPr>
        <b/>
        <sz val="10"/>
        <color theme="1"/>
        <rFont val="Arial Nova"/>
        <family val="2"/>
      </rPr>
      <t>Credit guarantee:</t>
    </r>
    <r>
      <rPr>
        <sz val="10"/>
        <color theme="1"/>
        <rFont val="Arial Nova"/>
        <family val="2"/>
      </rPr>
      <t xml:space="preserve">
</t>
    </r>
    <r>
      <rPr>
        <sz val="10"/>
        <rFont val="Arial Nova"/>
        <family val="2"/>
      </rPr>
      <t>* The revised Scheme will cover loans up to SCR150 000 and SCR3 million under the Seychelles Energy Efficiency and Renewable Energy Programme (SEEREP). The scheme only considers SMEs with a turnover less than SR6million. 
* The credit guarantee provides loans up to SCR 3million at an interest of 5% on the first SCR 1million, 7% on next SCR 2 million.
* Repayment – Maximum 7 years; Personal contribution – Minimum 2.5%; Grace Period – 6 months.</t>
    </r>
  </si>
  <si>
    <t>Since its establishment in 2014, a total of 1,707 loans have been disbursed</t>
  </si>
  <si>
    <t xml:space="preserve"> The total value ofall the loans approved by all financial institutions combined is SCR1.4 billion. </t>
  </si>
  <si>
    <t>http://www.nation.sc/archive/240844/smes-to-benefit-from-new-interest-scheme
https://ja-jp.facebook.com/todayinsey/posts/small-medium-enterprise-smesenergy-efficiency-paysgovernment-yesterday-signed-a-/1020841944620282/
http://www.scu.sc/government-scheme/government-subsidised-loans/sme
http://www.dbs.sc/sites/default/files/downloads/Annual%20Report%202018.pdf</t>
  </si>
  <si>
    <t>SME Covid-19 Relief</t>
  </si>
  <si>
    <t>Central Bank of Seychelles and Banking association</t>
  </si>
  <si>
    <t>Seychelles Credit Union, Development Bank of Seychelles</t>
  </si>
  <si>
    <t>* To assist Micro, Small and Medium Enterprises (MSMEs) with an annual turnover of up to SCR25 million that are facing revenue constraints due to COVID-19.</t>
  </si>
  <si>
    <r>
      <rPr>
        <b/>
        <sz val="10"/>
        <color theme="1"/>
        <rFont val="Arial Nova"/>
        <family val="2"/>
      </rPr>
      <t xml:space="preserve">Credit guarantee: </t>
    </r>
    <r>
      <rPr>
        <sz val="10"/>
        <color theme="1"/>
        <rFont val="Arial Nova"/>
        <family val="2"/>
      </rPr>
      <t>The Government is providing a guarantee of 70 percent of the total funds disbursed under this scheme. Credit facilities under this scheme carry a fixed interest rate of 1.5% per year as well as a 6-month moratorium, where borrowers will have the option of not repaying both the principal and interest amount during that period. The maximum repayment period for loans is 3 years.  The scheme is meant to assist eligible MSMEs facing financial constraints resulting from the COVID-19 pandemic in meeting their critical expenditures, including: payment of rent; utilities; salaries; taxes; and goods and services contracts to the extent not covered under other public measures.</t>
    </r>
  </si>
  <si>
    <t>Central Bank of Seychelles Act (Ammendment) (2020)</t>
  </si>
  <si>
    <t xml:space="preserve">By the 30th of October 2020, the scheme received 293 requests of which 150 were approved, 62 rejected and the rest pending.
</t>
  </si>
  <si>
    <t>SCR52,648,365.00 had been disbursed by the 30th of October 2020</t>
  </si>
  <si>
    <t>https://www.cbs.sc/Downloads/covid19/PolicyMeasures/Update%20on%20Implementation%20of%20the%20Private%20Sector%20(MSMEs)%20Relief%20Scheme%20&amp;%20Private%20Sector%20(Large%20Enterprises)%20Relief%20Scheme%2030-10-2020.pdf
https://www.cbs.sc/Downloads/covid19/News/Private%20Sector%20Relief%20Scheme%20is%20open%20for%20application.pdf
https://www.cbs.sc/COVID-19/PolicyMeasures.html</t>
  </si>
  <si>
    <t>Fund for Private Sector Assistance (FAPA) of the African Development Bank.</t>
  </si>
  <si>
    <t>Small Business Finance Agency (SBFA) and the Small Enterprise Promotion Agency (SEnPA) and Ministry of Finance</t>
  </si>
  <si>
    <t>* Enhancing the growth of Seychelles MSMEs in order to promote inclusive growth through addressing access to finance and entrepreneurial skills, two main constraints to MSME development in Seychelles.</t>
  </si>
  <si>
    <r>
      <rPr>
        <b/>
        <sz val="10"/>
        <rFont val="Arial Nova"/>
        <family val="2"/>
      </rPr>
      <t xml:space="preserve">Capacity building MSMEs: </t>
    </r>
    <r>
      <rPr>
        <sz val="10"/>
        <rFont val="Arial Nova"/>
        <family val="2"/>
      </rPr>
      <t>Strengthening the capacities of the Small Enterprise Promotion Agency (SEnPA), which provides training and capacity building.</t>
    </r>
    <r>
      <rPr>
        <b/>
        <sz val="10"/>
        <rFont val="Arial Nova"/>
        <family val="2"/>
      </rPr>
      <t xml:space="preserve">
Direct lending: </t>
    </r>
    <r>
      <rPr>
        <sz val="10"/>
        <rFont val="Arial Nova"/>
        <family val="2"/>
      </rPr>
      <t xml:space="preserve">Strengthening the capacities of  the Small Business Finance Agency (SBFA), an independent credit facility that provides micro loans and </t>
    </r>
  </si>
  <si>
    <t>https://www.afdb.org/fileadmin/uploads/afdb/Documents/Procurement/Project-related-Procurement/GPN_-_Seychelles_-_Fund_for_Africa_Private_Sector_Assistance_%E2%80%93_FAPA_-_Seychelles_MSME_Development_Project_%E2%80%93_01_2015.pdf
https://projectsportal.afdb.org/dataportal/VProject/show/P-SC-KB0-001</t>
  </si>
  <si>
    <t>Support to Blue Economy Micro- Small and Medium Enterprises (MSMEs)</t>
  </si>
  <si>
    <t>African development Bank, Department of the Blue Economy in collaboration with the Department of Industry and Entrepreneurship and the National Institute for Science and Technology (NISTI) and the Minister for Finance, Trade, Investment and Economic Planning</t>
  </si>
  <si>
    <t>Department of the Blue Economy in collaboration with the Department of Industry and Entrepreneurship and the National Institute for Science and Technology (NISTI).</t>
  </si>
  <si>
    <t>* To will help Seychelles develop its marine biotechnology sector, strengthen the capacity of public institutions and private operators, create a knowledge platform on emerging business opportunities, and provide technical and financial training to MSMEs.</t>
  </si>
  <si>
    <r>
      <rPr>
        <b/>
        <sz val="10"/>
        <color theme="1"/>
        <rFont val="Arial Nova"/>
        <family val="2"/>
      </rPr>
      <t xml:space="preserve">Capacity building MSMEs:
</t>
    </r>
    <r>
      <rPr>
        <sz val="10"/>
        <color theme="1"/>
        <rFont val="Arial Nova"/>
        <family val="2"/>
      </rPr>
      <t xml:space="preserve">* Providing training to MSME's on finance.
* The project includes training of about 100 entrepreneurs, half of whom should be women.
</t>
    </r>
    <r>
      <rPr>
        <b/>
        <sz val="10"/>
        <color theme="1"/>
        <rFont val="Arial Nova"/>
        <family val="2"/>
      </rPr>
      <t xml:space="preserve">Grants and subsidies: </t>
    </r>
    <r>
      <rPr>
        <sz val="10"/>
        <color theme="1"/>
        <rFont val="Arial Nova"/>
        <family val="2"/>
      </rPr>
      <t>The $1million project will be financed through a grant from the Fund for African Private Sector Assistance (FAPA), which will provide $800,000 and $200,00 million from the Seychelles government. FAPA is a multi-donor thematic trust fund that provides grant funding for technical assistance and capacity building to support the implementation of the Bank’s Private Sector Development Strategy.</t>
    </r>
  </si>
  <si>
    <t>Support the creation of 20 MSME's and train 100 entrepreneurs (50% of whom should be women)</t>
  </si>
  <si>
    <t>National Development Strategy 2019-2023</t>
  </si>
  <si>
    <t>https://www.afdb.org/en/news-and-events/press-releases/seychelles-african-development-bank-supports-blue-economy-800k-fapa-grant-34889</t>
  </si>
  <si>
    <t>Economic diversification project</t>
  </si>
  <si>
    <t>Ministry of Tourism &amp; Cultural Affairs, Ministry of Finance, Ministry of Trade and Industry</t>
  </si>
  <si>
    <t xml:space="preserve">Early-stage finance, Enabling infrastructure </t>
  </si>
  <si>
    <t>* To increase investment, Small and Medium Enterprise (SME) growth, and entrepreneurship in non-mining productive sectors in the Recipient’s territory.</t>
  </si>
  <si>
    <r>
      <rPr>
        <b/>
        <sz val="10"/>
        <color theme="1"/>
        <rFont val="Arial Nova"/>
        <family val="2"/>
      </rPr>
      <t xml:space="preserve">Early-stage finance: </t>
    </r>
    <r>
      <rPr>
        <sz val="10"/>
        <color theme="1"/>
        <rFont val="Arial Nova"/>
        <family val="2"/>
      </rPr>
      <t xml:space="preserve">The TA for SMEs and start-ups channeled through incubators and accelerators will be complemented by subgrants to finance subprojects that need to be aligned with the TA support being provided to the start-up or SME. This will be designed to enable the firm to achieve key milestones in the development and acceleration of their businesses (e.g. first sales and new markets). </t>
    </r>
    <r>
      <rPr>
        <b/>
        <sz val="10"/>
        <color theme="1"/>
        <rFont val="Arial Nova"/>
        <family val="2"/>
      </rPr>
      <t xml:space="preserve">
Collateral registry</t>
    </r>
    <r>
      <rPr>
        <sz val="10"/>
        <color theme="1"/>
        <rFont val="Arial Nova"/>
        <family val="2"/>
      </rPr>
      <t xml:space="preserve">: The objective of this subcomponent is to improve access to finance and financial inclusion for SMEs and entrepreneurs in Sierra Leone by supporting the improvement of the Collateral Registry for movable securities. </t>
    </r>
  </si>
  <si>
    <t>Number of new loans secured by movables (as registered by the Collateral Registry, cumulative): 2,000; Number of new entrepreneurs who participated in hackathons, trainings, pitch nights and other activities organized by entrepreneurship institutions supported by the project : 250</t>
  </si>
  <si>
    <t>http://documents1.worldbank.org/curated/en/130561596247365143/pdf/Sierra-Leone-Economic-Diversification-Project.pdf</t>
  </si>
  <si>
    <t>National Micro, Small and Medium Enterprise Development Strategy</t>
  </si>
  <si>
    <t>International Finance Corporation, Ministry of Trade and Industry</t>
  </si>
  <si>
    <t>Capacity building financial institutions, Credit information system, Incentives to financial institutions, Collateral registry, Other</t>
  </si>
  <si>
    <t>* Increase the number of small and medium businesses that receive affordable short- and medium-term loans by assisting commercial banks to reduce their costs and risks of lending to small businesses.
* Increase the number of microentrepreneurs that receive credit and savings services by strengthening microfinance institutions and other lenders to microenterprises.
* Increase the number of small businesses that receive financial products and services in addition to payments, credit, and deposit services by assisting financial institutions to expand their product offerings.</t>
  </si>
  <si>
    <r>
      <t xml:space="preserve">
</t>
    </r>
    <r>
      <rPr>
        <b/>
        <sz val="10"/>
        <color theme="1"/>
        <rFont val="Arial Nova"/>
        <family val="2"/>
      </rPr>
      <t xml:space="preserve">Capacity building financial institutions:
* </t>
    </r>
    <r>
      <rPr>
        <sz val="10"/>
        <color theme="1"/>
        <rFont val="Arial Nova"/>
        <family val="2"/>
      </rPr>
      <t xml:space="preserve">Support to and training of bank staff in small business lending, focusing on specialized lending products and models.
* Establishment of a training facility for capacity building of microfinance institutions and nonbank financial institutions on specialized lending methodologies and microfinance institution management.
* Facilitating resources to support microfinance institutions and nonbank financial institutions in rural areas to build the capacity for onlending.
</t>
    </r>
    <r>
      <rPr>
        <b/>
        <sz val="10"/>
        <color theme="1"/>
        <rFont val="Arial Nova"/>
        <family val="2"/>
      </rPr>
      <t xml:space="preserve">Credit information system: </t>
    </r>
    <r>
      <rPr>
        <sz val="10"/>
        <color theme="1"/>
        <rFont val="Arial Nova"/>
        <family val="2"/>
      </rPr>
      <t xml:space="preserve">Establishment of a credit reference bureau for lenders to microenterprises.
</t>
    </r>
    <r>
      <rPr>
        <b/>
        <sz val="10"/>
        <color theme="1"/>
        <rFont val="Arial Nova"/>
        <family val="2"/>
      </rPr>
      <t xml:space="preserve">Incentives to financial institutions: </t>
    </r>
    <r>
      <rPr>
        <sz val="10"/>
        <color theme="1"/>
        <rFont val="Arial Nova"/>
        <family val="2"/>
      </rPr>
      <t>Introduction of incentives for commercial banks to increase SME lending and double the current loan portfolio within a year.</t>
    </r>
    <r>
      <rPr>
        <b/>
        <sz val="10"/>
        <color theme="1"/>
        <rFont val="Arial Nova"/>
        <family val="2"/>
      </rPr>
      <t xml:space="preserve">
Collateral registry</t>
    </r>
    <r>
      <rPr>
        <sz val="10"/>
        <color theme="1"/>
        <rFont val="Arial Nova"/>
        <family val="2"/>
      </rPr>
      <t xml:space="preserve">: A registry for movable collateral that will lower banks’ risks in terms of accepting movable collateral for small loans is being prepared, but is not yet in place; Finalization of the collateral registry carrying microenterprise collaterals.
</t>
    </r>
    <r>
      <rPr>
        <b/>
        <sz val="10"/>
        <color theme="1"/>
        <rFont val="Arial Nova"/>
        <family val="2"/>
      </rPr>
      <t>Other</t>
    </r>
    <r>
      <rPr>
        <sz val="10"/>
        <color theme="1"/>
        <rFont val="Arial Nova"/>
        <family val="2"/>
      </rPr>
      <t xml:space="preserve">: Linking at least 10 new rural lending institutions to large financial institutions
</t>
    </r>
    <r>
      <rPr>
        <b/>
        <sz val="10"/>
        <color theme="1"/>
        <rFont val="Arial Nova"/>
        <family val="2"/>
      </rPr>
      <t>MSME procurement:</t>
    </r>
    <r>
      <rPr>
        <sz val="10"/>
        <color theme="1"/>
        <rFont val="Arial Nova"/>
        <family val="2"/>
      </rPr>
      <t xml:space="preserve"> Creation of a list of services required by various institutions within government and through widespread information sharing to open such opportunities to SMEs; » Selection of two different goods or services provided in-house to government offices to pilot outsourcing with a fairly small group of small-scale businesses (up to 15 small enterprises for each of the two goods or services.</t>
    </r>
  </si>
  <si>
    <t>Micro: 0-4 employees
Small: 5-19  employees
Medium: 20-49  employees</t>
  </si>
  <si>
    <t>https://www.genglobal.org/sites/default/files/IFC%2520National%2520MSME%2520strategy%2520FINAL.pdf</t>
  </si>
  <si>
    <t>Small and Medium Enterprises Development Agency (SMEDA)</t>
  </si>
  <si>
    <t>* Facilitate access to industrial space, finance
and other productive resources.</t>
  </si>
  <si>
    <t>Small: Annual turnover of not more than 100 million leones
Medium: Annual turnover of more than 100 million leones but not more than 500 million leones</t>
  </si>
  <si>
    <t>The Sierra Leone Small and Medium Enterprises Development
Agency Act, 2016</t>
  </si>
  <si>
    <t>https://www.ilo.org/dyn/natlex/docs/ELECTRONIC/104320/127219/F-1432184126/SLE104320.pdf</t>
  </si>
  <si>
    <t>Somalia Capacity Advancement, Livelihoods and Entrepreneurship, through Digital Uplift Project (SCALED-UP)</t>
  </si>
  <si>
    <t>International Development Association</t>
  </si>
  <si>
    <t>* Increased access to financial services for targeted beneficiaries and sectors.</t>
  </si>
  <si>
    <r>
      <rPr>
        <b/>
        <sz val="10"/>
        <color theme="1"/>
        <rFont val="Arial Nova"/>
        <family val="2"/>
      </rPr>
      <t>Direct lending:
*</t>
    </r>
    <r>
      <rPr>
        <sz val="10"/>
        <color theme="1"/>
        <rFont val="Arial Nova"/>
        <family val="2"/>
      </rPr>
      <t xml:space="preserve"> Setting up the MSME Financing Facility as a dedicated apex institution providing financing to bank and nonbank financial institutions, with implementation support from the World Bank; The MSME Financing Facility will be set up as a dedicated and autonomous Somali body to ensure long-term sustainability. The entity will be initially publicly funded using IDA financing but would be structured to operate through private sector management and governance principles and with the provision to allow transition toward private sector majority shareholding over time. To avoid crowdingout private sector financing, any subsidy component in the pricing will be explicit and transparent and will be gradually phased out to build a commercial market segment for lending to MSMEs in underserved market segments. 
* A ‘large loans’ window to cover large loans to SMEs (large businesses). The eligibility criteria for borrowers would be flexible. However, informal companies would not be accepted. All advances will be in U.S. dollars and all types of credit would be eligible (working capital and investment loans), except trade finance.
* A ‘micro and small loans’ window that would be open to SMEs, individuals, and groups. This will include informal small and microenterprises and groups with a commitment to formalize during the loan repayment period. All advances will be in U.S. dollars and all types of credit would be eligible (working capital and investment loans) except trade finance. </t>
    </r>
  </si>
  <si>
    <t>Total number of MSME loans
outstanding from the MSME
Financing Facility (Number): 3,130</t>
  </si>
  <si>
    <t>http://documents1.worldbank.org/curated/en/267241552269666297/pdf/Project-Appraisal-Document-PAD-SCALED-UP-P168115-revised-February-26-2019-02262019-636878520441412199.pdf</t>
  </si>
  <si>
    <t>Somali Small and Medium Enterprise Facility (SMEF)</t>
  </si>
  <si>
    <t xml:space="preserve">* To provide skills development trainings to SMEs and individuals. </t>
  </si>
  <si>
    <r>
      <rPr>
        <b/>
        <sz val="10"/>
        <color theme="1"/>
        <rFont val="Arial Nova"/>
        <family val="2"/>
      </rPr>
      <t xml:space="preserve">Capacity building MSMEs: </t>
    </r>
    <r>
      <rPr>
        <sz val="10"/>
        <color theme="1"/>
        <rFont val="Arial Nova"/>
        <family val="2"/>
      </rPr>
      <t>Financial literacy training of female entrepreneurs, business development services.</t>
    </r>
    <r>
      <rPr>
        <b/>
        <sz val="10"/>
        <color theme="1"/>
        <rFont val="Arial Nova"/>
        <family val="2"/>
      </rPr>
      <t xml:space="preserve">
Constraint/landscape assessment:</t>
    </r>
    <r>
      <rPr>
        <sz val="10"/>
        <color theme="1"/>
        <rFont val="Arial Nova"/>
        <family val="2"/>
      </rPr>
      <t xml:space="preserve"> Scoping study into women's access to finance.</t>
    </r>
  </si>
  <si>
    <t>Supported 861 unique SMEs</t>
  </si>
  <si>
    <t>Built the capacity of 78 business development providers; provided financial literacy training to 197 women entrepreneurs</t>
  </si>
  <si>
    <t>http://smefbds.com/</t>
  </si>
  <si>
    <t>Somali Business Catalytic Fund</t>
  </si>
  <si>
    <t>Agriculture, Energy, Manufacturing</t>
  </si>
  <si>
    <t>* The purpose of the SBCF is to fund Somali businesses to support growth, increase employment and diversify in certain key sectors</t>
  </si>
  <si>
    <r>
      <t xml:space="preserve">Grants and subsidies: </t>
    </r>
    <r>
      <rPr>
        <sz val="10"/>
        <color theme="1"/>
        <rFont val="Arial Nova"/>
        <family val="2"/>
      </rPr>
      <t>The fund will support 150 to 200 businesses, with one third of grants to businesses in Somaliland.</t>
    </r>
  </si>
  <si>
    <t xml:space="preserve">Somali Business Catalytic Fund (SBCF), which as of June 2018 has reached 82 firms, committed to disburse US$6.5 million (to be matched by the recipients) to SMEs in the agriculture, manufacturing, and fisheries sectors, and catalyzed the mobilization of further US$1.06 million in private financing from financial institutions. </t>
  </si>
  <si>
    <t>https://www.worldbank.org/en/news/press-release/2017/11/01/somaliland-launches-flagship-job-creation-program</t>
  </si>
  <si>
    <t>Women Empowerment Fund</t>
  </si>
  <si>
    <t>National Empowerment Fund</t>
  </si>
  <si>
    <t>* The NEF mandate is to grow black economic participation by providing financial and non-financial support and to promote a culture of savings and investment among black people.</t>
  </si>
  <si>
    <r>
      <rPr>
        <b/>
        <sz val="10"/>
        <color theme="1"/>
        <rFont val="Arial Nova"/>
        <family val="2"/>
      </rPr>
      <t xml:space="preserve">Direct lending: </t>
    </r>
    <r>
      <rPr>
        <sz val="10"/>
        <color theme="1"/>
        <rFont val="Arial Nova"/>
        <family val="2"/>
      </rPr>
      <t>The Fund provides support to black entrepreneurs requiring funding of between R500 000 and R10 million in concessionary loans. The loans are offered at 0% interest for the first year and thereafter at 2.5% per annum. The loans are repayable over a maximum term of 60 years.</t>
    </r>
  </si>
  <si>
    <t>https://www.nefcorp.co.za/products-services/women-empowerment-fund/</t>
  </si>
  <si>
    <t>Black Business Supplier Development Programme</t>
  </si>
  <si>
    <t>Department of Trade, Industry and Competition</t>
  </si>
  <si>
    <t>* To grow black-owned enterprises by fostering linkages between black SMMEs and corporate and public sector enterprises.</t>
  </si>
  <si>
    <r>
      <rPr>
        <b/>
        <sz val="10"/>
        <color theme="1"/>
        <rFont val="Arial Nova"/>
        <family val="2"/>
      </rPr>
      <t xml:space="preserve">Grants and subsidies: </t>
    </r>
    <r>
      <rPr>
        <sz val="10"/>
        <color theme="1"/>
        <rFont val="Arial Nova"/>
        <family val="2"/>
      </rPr>
      <t>Eligible applicants obtain funding to a maximum of R1 million. R800 000 is earmarked for tools, machinery and equipment and R200 000 for business development and training interventions.</t>
    </r>
  </si>
  <si>
    <t>http://incentivesa.co.za/bbsdp-black-business-supplier-development-programme/</t>
  </si>
  <si>
    <t>SMME Debt relief scheme</t>
  </si>
  <si>
    <t>22 May 2020 (closure of Window–1)</t>
  </si>
  <si>
    <t>Department of Small Business Development</t>
  </si>
  <si>
    <t>Small Enterprise Finance Agency</t>
  </si>
  <si>
    <t>People with disabilities, Women, Youth, Adversely affected businesses by the COVID-19 crisis</t>
  </si>
  <si>
    <t>* The scheme is aimed at assisting SMMEs who are experiencing reduction in demand and subsequent reduction in revenues due to the Covid-19 pandemic. The scheme seeks to ensure that SMMEs do not close down completely and that they are supported with working capital to ensure that jobs are retained in the economy.</t>
  </si>
  <si>
    <r>
      <rPr>
        <b/>
        <sz val="10"/>
        <color theme="1"/>
        <rFont val="Arial Nova"/>
        <family val="2"/>
      </rPr>
      <t>Direct lending:</t>
    </r>
    <r>
      <rPr>
        <sz val="10"/>
        <color theme="1"/>
        <rFont val="Arial Nova"/>
        <family val="2"/>
      </rPr>
      <t xml:space="preserve">
* The scheme offers only working capital, which strictly has to cover direct costs.
* Each SMME will be eligible for a maximum R500 000.
* The term of the funding will be determined by the business cash flow.
* Loan facilities will be at an interest rate of prime less 5%.</t>
    </r>
  </si>
  <si>
    <t>https://www.sefa.org.za/services/reliefscheme</t>
  </si>
  <si>
    <t>Small scale bakeries and confectionaries business support</t>
  </si>
  <si>
    <t xml:space="preserve">Capacity building MSMEs </t>
  </si>
  <si>
    <t>* To facilitate stepped-up access to the market.
* To provide scaled-up opportunities for business growth.
* To facilitate improved access to credit.</t>
  </si>
  <si>
    <r>
      <rPr>
        <b/>
        <sz val="10"/>
        <color theme="1"/>
        <rFont val="Arial Nova"/>
        <family val="2"/>
      </rPr>
      <t xml:space="preserve">Capacity building MSMEs: </t>
    </r>
    <r>
      <rPr>
        <sz val="10"/>
        <color theme="1"/>
        <rFont val="Arial Nova"/>
        <family val="2"/>
      </rPr>
      <t xml:space="preserve">
* The scheme also includes tailor made business development support that covers compliance with Minimum Bread and Confectionery Nutritional Requirements and the related testing; compliance with Environmental Health and Food Safety Regulations; shop floor management training and conformity testing; and business and financial management training and mentorship.
</t>
    </r>
    <r>
      <rPr>
        <b/>
        <sz val="10"/>
        <color theme="1"/>
        <rFont val="Arial Nova"/>
        <family val="2"/>
      </rPr>
      <t>Direct lending:</t>
    </r>
    <r>
      <rPr>
        <sz val="10"/>
        <color theme="1"/>
        <rFont val="Arial Nova"/>
        <family val="2"/>
      </rPr>
      <t xml:space="preserve">
* The financial package is structured to cover cost of equipment and working capital. </t>
    </r>
  </si>
  <si>
    <t>https://www.sefa.org.za/Content/Docs/DEPARTMENT_OF_SMALL_BUSINESS_DEVELOPMENT_ANNOUNCES_SECOND_WAVE_OF_SUPPORT_FOR_ENTERPRISES_BASED_IN_TOWNSHIPS_AND_VILLAGES.pdf</t>
  </si>
  <si>
    <t>Small scale and micro clothing and textile business support scheme</t>
  </si>
  <si>
    <t>Informal sector, Services</t>
  </si>
  <si>
    <t>The scheme is aimed at supporting small scale, micro and informal businesses in the clothing and textile industry to:
i) Seize opportunities in the sector availed by the Covid-19 pandemic, such as production of personal protective equipment (PPE).
ii) Participate in the rebuilding and restructuring of the clothing and textile sector.
iii) Improve the quality and competitiveness of small scale clothing and textile enterprises for both domestic supply and export market.</t>
  </si>
  <si>
    <r>
      <rPr>
        <b/>
        <sz val="10"/>
        <color theme="1"/>
        <rFont val="Arial Nova"/>
        <family val="2"/>
      </rPr>
      <t xml:space="preserve">Capacity building MSMEs: </t>
    </r>
    <r>
      <rPr>
        <sz val="10"/>
        <color theme="1"/>
        <rFont val="Arial Nova"/>
        <family val="2"/>
      </rPr>
      <t>Assistance with compliance and technical skills improvement, e.g. labelling, industry standards and quality; and business and financial management training, including productivity management.</t>
    </r>
    <r>
      <rPr>
        <b/>
        <sz val="10"/>
        <color theme="1"/>
        <rFont val="Arial Nova"/>
        <family val="2"/>
      </rPr>
      <t xml:space="preserve">
Direct lending: </t>
    </r>
    <r>
      <rPr>
        <sz val="10"/>
        <color theme="1"/>
        <rFont val="Arial Nova"/>
        <family val="2"/>
      </rPr>
      <t>The scheme covers the cost of production inputs; access to credit</t>
    </r>
  </si>
  <si>
    <t>Automotive aftermarkets support scheme</t>
  </si>
  <si>
    <t>Informal sector, Manufacturing</t>
  </si>
  <si>
    <t xml:space="preserve">* This scheme is aimed at targeted support and development of the small/ independent automotive aftermarkets enterprises including informal businesses that are located in townships and villages. </t>
  </si>
  <si>
    <r>
      <rPr>
        <b/>
        <sz val="10"/>
        <color theme="1"/>
        <rFont val="Arial Nova"/>
        <family val="2"/>
      </rPr>
      <t xml:space="preserve">Capacity building MSMEs: </t>
    </r>
    <r>
      <rPr>
        <sz val="10"/>
        <color theme="1"/>
        <rFont val="Arial Nova"/>
        <family val="2"/>
      </rPr>
      <t xml:space="preserve">Automotive workshop service management training and support; business management support and mentorship through unemployed graduate scheme/ SEDA business advisors/ services business professionals.
</t>
    </r>
    <r>
      <rPr>
        <b/>
        <sz val="10"/>
        <color theme="1"/>
        <rFont val="Arial Nova"/>
        <family val="2"/>
      </rPr>
      <t xml:space="preserve">Direct lending: </t>
    </r>
    <r>
      <rPr>
        <sz val="10"/>
        <color theme="1"/>
        <rFont val="Arial Nova"/>
        <family val="2"/>
      </rPr>
      <t xml:space="preserve">The support covers working capital.
</t>
    </r>
    <r>
      <rPr>
        <b/>
        <sz val="10"/>
        <color theme="1"/>
        <rFont val="Arial Nova"/>
        <family val="2"/>
      </rPr>
      <t xml:space="preserve">Credit information system: </t>
    </r>
    <r>
      <rPr>
        <sz val="10"/>
        <color theme="1"/>
        <rFont val="Arial Nova"/>
        <family val="2"/>
      </rPr>
      <t>Facilitating the accreditation of the small/micro and participation in a SEFA-backed revolving credit facility, through participating banks, between participating motor mechanics/ motor body repairers with participating auto spares shops and fitment centres.</t>
    </r>
  </si>
  <si>
    <t>Covid-19 Agricultural disaster support Fund</t>
  </si>
  <si>
    <t>22 April 2020</t>
  </si>
  <si>
    <t>Department of agriculture, land reform and rural development</t>
  </si>
  <si>
    <t>* The main objective of the support is to complete the current production cycle in an effort to ensure adequate food production and supplies</t>
  </si>
  <si>
    <r>
      <rPr>
        <b/>
        <sz val="10"/>
        <color theme="1"/>
        <rFont val="Arial Nova"/>
        <family val="2"/>
      </rPr>
      <t xml:space="preserve">Grants and subsidies: </t>
    </r>
    <r>
      <rPr>
        <sz val="10"/>
        <color theme="1"/>
        <rFont val="Arial Nova"/>
        <family val="2"/>
      </rPr>
      <t>The funding is a grant and the voucher system will apply in partnership with distributors and manufacturers of these inputs and the grant shall not exceed R50,000 per farming operation.</t>
    </r>
  </si>
  <si>
    <t>https://www.arc.agric.za/Agricultural%20Sector%20News/COVID-19%20Agricultural%20Disaster%20Support%20Fund%20for%20Smallholder%20and%20Communal%20Farmers.pdf</t>
  </si>
  <si>
    <t>Tourism relief fund for SMMEs</t>
  </si>
  <si>
    <t>31 May 2020</t>
  </si>
  <si>
    <t>Department of Tourism</t>
  </si>
  <si>
    <t xml:space="preserve">Tourism </t>
  </si>
  <si>
    <t>* The tourism relief fund provides once-off capped grant assistance to SMMEs in the tourism sector to mitigate the impact of COVID-19 in order to ensure their sustainability. Categories eligible to apply for the tourism relief include accommodation establishments, hospitality and related services, and travel and related services.</t>
  </si>
  <si>
    <r>
      <rPr>
        <b/>
        <sz val="10"/>
        <color theme="1"/>
        <rFont val="Arial Nova"/>
        <family val="2"/>
      </rPr>
      <t xml:space="preserve">Grants and subsidies: </t>
    </r>
    <r>
      <rPr>
        <sz val="10"/>
        <color theme="1"/>
        <rFont val="Arial Nova"/>
        <family val="2"/>
      </rPr>
      <t>The funding is capped at R50,000 per entity. The grant funding can be used to subsidise expenses towards fixed costs, operational costs, supplies and other pressure cost items.</t>
    </r>
  </si>
  <si>
    <t>https://www.tourism.gov.za/CurrentProjects/Tourism_Relief_Fund_for_SMMEs/Documents/Tourism%20relief%20funding%20criteria%20for%20SMMEs.pdf</t>
  </si>
  <si>
    <t>Amavulandlela Funding scheme</t>
  </si>
  <si>
    <t>December 2016</t>
  </si>
  <si>
    <t xml:space="preserve">* SEFA recognises that people with disabilities are a highly marginalised group that that tends to be excluded from accessing fundamental social and economic benefits. Therefore, the objective of the scheme is to provide funding to small and medium sized enterprises and co operatives with at least 50 + 1% ownership by entrepreneurs with disabilities. </t>
  </si>
  <si>
    <r>
      <rPr>
        <b/>
        <sz val="10"/>
        <color theme="1"/>
        <rFont val="Arial Nova"/>
        <family val="2"/>
      </rPr>
      <t>Capacity building MSMEs:</t>
    </r>
    <r>
      <rPr>
        <sz val="10"/>
        <color theme="1"/>
        <rFont val="Arial Nova"/>
        <family val="2"/>
      </rPr>
      <t xml:space="preserve">
* Pre-approvable assistance will be provided in the form of targeted assistance to bring the application to a bankable stage, mentoring, technical assistance, sourcing and negotiating with suitable suppliers.
* Post-approval assistance will be provided such as in-depth mentoring and coaching as well as any other business support required up to 2 years.
</t>
    </r>
    <r>
      <rPr>
        <b/>
        <sz val="10"/>
        <color theme="1"/>
        <rFont val="Arial Nova"/>
        <family val="2"/>
      </rPr>
      <t xml:space="preserve">Direct lending: </t>
    </r>
    <r>
      <rPr>
        <sz val="10"/>
        <color theme="1"/>
        <rFont val="Arial Nova"/>
        <family val="2"/>
      </rPr>
      <t>The scheme offers entrepreneurs with disabilities the standard credit facilities ranging from R50,000 up to R5 million at a fixed interest rate of 7% per annum.</t>
    </r>
  </si>
  <si>
    <t>http://sefa.org.za/Content/Docs/Amavulandlela%20Funding%20Scheme%20Brochure.pdf</t>
  </si>
  <si>
    <t>National Informal Business Upliftment Strategy</t>
  </si>
  <si>
    <t>Informal sector, Service, manufacturing, agriculture, construction</t>
  </si>
  <si>
    <t xml:space="preserve">The project goal is to identify, train, coach, mentor and provide infrastructure support to 1000 informal traders including capacity building for informal trader organisations in all nine provinces over 18 months in partnership with relevant stakeholders.  </t>
  </si>
  <si>
    <r>
      <t xml:space="preserve">Capacity building MSMEs: </t>
    </r>
    <r>
      <rPr>
        <sz val="10"/>
        <color theme="1"/>
        <rFont val="Arial Nova"/>
        <family val="2"/>
      </rPr>
      <t>The areas of development informal traders will be trained on by the training providers include: introduction to entrepreneurship, advertising and promotion, customer care and service, basic financial management, purchasing skills, legal issues (i.e. by-laws and compliance), health and food safety incorporating personal hygiene, merchandising incorporating stock rotation and stock receipts etc</t>
    </r>
    <r>
      <rPr>
        <b/>
        <sz val="10"/>
        <color theme="1"/>
        <rFont val="Arial Nova"/>
        <family val="2"/>
      </rPr>
      <t xml:space="preserve">. </t>
    </r>
  </si>
  <si>
    <t>The project goal is to identify, train, coach, mentor and provide infrastructure support to 1000 informal traders</t>
  </si>
  <si>
    <t>http://www.dsbd.gov.za/?page_id=1224</t>
  </si>
  <si>
    <t>NYDA Grant Programme</t>
  </si>
  <si>
    <t>National Youth Development Agency</t>
  </si>
  <si>
    <t>* The NYDA Grant programme is designed to provide young entrepreneurs with an opportunity to access both financia and non financial business development support in order to enable them to establish or grow their businesses.</t>
  </si>
  <si>
    <r>
      <t xml:space="preserve">Grants and subsidies: </t>
    </r>
    <r>
      <rPr>
        <sz val="10"/>
        <color theme="1"/>
        <rFont val="Arial Nova"/>
        <family val="2"/>
      </rPr>
      <t>The grant can be utilised for the following:To purchase movable and immovable assets;  Bridging finance; Shop renovations; Working capital paid directly to the grantee; Co-funding with legal entities only. Individuals or Enterprises which require funding less than a R1000 or more than R200 000 (for agriculture and technology related projects the maximum funding value is R250,000.00).</t>
    </r>
    <r>
      <rPr>
        <b/>
        <sz val="10"/>
        <color theme="1"/>
        <rFont val="Arial Nova"/>
        <family val="2"/>
      </rPr>
      <t xml:space="preserve">
Capacity building MSMEs: </t>
    </r>
    <r>
      <rPr>
        <sz val="10"/>
        <color theme="1"/>
        <rFont val="Arial Nova"/>
        <family val="2"/>
      </rPr>
      <t>The NYDA programme also includes a business management training programme - Mentorship, Business Consultancy Services, Market Linkages. Business Management Training Programme, Youth Co-operative Development Programme</t>
    </r>
    <r>
      <rPr>
        <b/>
        <sz val="10"/>
        <color theme="1"/>
        <rFont val="Arial Nova"/>
        <family val="2"/>
      </rPr>
      <t>.</t>
    </r>
  </si>
  <si>
    <t>http://www.nyda.gov.za/Products-Services/NYDA-Grant-Programme</t>
  </si>
  <si>
    <t>Youth Micro Enterprise Relief Fund</t>
  </si>
  <si>
    <t>20 April 2020</t>
  </si>
  <si>
    <t>30 May 2020</t>
  </si>
  <si>
    <t>* The NYDA provided a relief fund to youth-owned enterprises for a period of 3 months to help SMMEs mitigate the impact of COVID-19.</t>
  </si>
  <si>
    <r>
      <rPr>
        <b/>
        <sz val="10"/>
        <color theme="1"/>
        <rFont val="Arial Nova"/>
        <family val="2"/>
      </rPr>
      <t xml:space="preserve">Grants and subsidies: </t>
    </r>
    <r>
      <rPr>
        <sz val="10"/>
        <color theme="1"/>
        <rFont val="Arial Nova"/>
        <family val="2"/>
      </rPr>
      <t>The fund was targeted at youth-owned enterprises that meet certain criteria. The enterprise needs to demonstrate how it has been impacted by Covid 19. The relief fund only covers operational costs and the payout is capped at a maximum of R10,000 per youth owned enterprises, which is a once off amount.</t>
    </r>
  </si>
  <si>
    <t>http://www.nyda.gov.za/Latest-News/NYDA-Youth-Micro-Enterprise-Relief-Fund</t>
  </si>
  <si>
    <t>Promotion of Small and Medium-sized enterprises</t>
  </si>
  <si>
    <t>KfW, Industrial Development Corporation</t>
  </si>
  <si>
    <t>* IDC on-lends directly to SMEs at medium and long-terms.</t>
  </si>
  <si>
    <r>
      <rPr>
        <b/>
        <sz val="10"/>
        <color theme="1"/>
        <rFont val="Arial Nova"/>
        <family val="2"/>
      </rPr>
      <t xml:space="preserve">Direct lending: </t>
    </r>
    <r>
      <rPr>
        <sz val="10"/>
        <color theme="1"/>
        <rFont val="Arial Nova"/>
        <family val="2"/>
      </rPr>
      <t>The composition of the loan is as follows: 
* 1/3 for a term of 40 years, including 10 grace years and an interest rate of 0.75% p.a. 
* 2/3 for a term of 10 years including 5 grace years, and a market-based interest rate.</t>
    </r>
  </si>
  <si>
    <t>Ikapa Absa entreprenuerial programme</t>
  </si>
  <si>
    <t>Western Cape Provincial Government, ABSA CASIDRA</t>
  </si>
  <si>
    <t>Women, People with disabilities</t>
  </si>
  <si>
    <t>* The program is aimed at assisting and growing start-ups/new businesses, existing businesses, businesses that are owned by women, the disabled and community organizations.</t>
  </si>
  <si>
    <r>
      <t xml:space="preserve">Capacity building MSMEs: </t>
    </r>
    <r>
      <rPr>
        <sz val="10"/>
        <color theme="1"/>
        <rFont val="Arial Nova"/>
        <family val="2"/>
      </rPr>
      <t>Training, mentorship, business plan writing, and capacity building.</t>
    </r>
    <r>
      <rPr>
        <b/>
        <sz val="10"/>
        <color theme="1"/>
        <rFont val="Arial Nova"/>
        <family val="2"/>
      </rPr>
      <t xml:space="preserve">
Direct lending: </t>
    </r>
    <r>
      <rPr>
        <sz val="10"/>
        <color theme="1"/>
        <rFont val="Arial Nova"/>
        <family val="2"/>
      </rPr>
      <t>They offer business loans for rural development ranging from R10 000 to R160 000. These loans are repayable over three years at a fixed interest rate of 10%.</t>
    </r>
  </si>
  <si>
    <t>This fund had a positive impact on the "unbankable" market and disbursed a total of R14 million in loan capital to 159 entrepreneurs in the 2004/2005 period.</t>
  </si>
  <si>
    <t xml:space="preserve">
http://www.treasury.gov.za/publications/annual%20reports/provincial/2005/WC/WC%20-%20Vote%2013%20-%20Economic%20Dev%20&amp;%20Tourism.pdf
https://www.westerncape.gov.za/red-tape-reduction/files/atoms/files/Business%20Support%20Contact%20Database.pdf
https://www.enterprise-development.org/wp-content/uploads/ScalingUp_SME_Access_to_Financial_Services.pdf</t>
  </si>
  <si>
    <t>SMME Finance</t>
  </si>
  <si>
    <t>Multilateral development bank</t>
  </si>
  <si>
    <t>The project provides fi nancing products in the form of bridging fi nance for contracts received by SMMEs, mainly from Government departments.</t>
  </si>
  <si>
    <t>Red door finance program</t>
  </si>
  <si>
    <t>Western Cape Provincial Government, CASIDRA</t>
  </si>
  <si>
    <t xml:space="preserve">Direct lending, Enabling infrastructure </t>
  </si>
  <si>
    <t>Youth, Women, People with disabilities</t>
  </si>
  <si>
    <t>* The strategic objectives of the Red Door programme is to implement support programmes and a develop service delivery network that will increase the
contribution of small businesses to the economy of the Western Cape.
Every Red Door centre will have the following aims:
• The increased formation of small businesses from the predominantly previously disadvantaged communities.
• Increased entrepreneurial talent, whereby job seekers become job creators, especially among the youth, women and the disabled.
• Increased rate of enterprises graduating micro-enterprises into small and medium sized enterprises.
• Increased viability (survival rate) of small and micro-enterprises.
• The Red Door is branded as a one-stop hub for the provision of quality small business services.</t>
  </si>
  <si>
    <r>
      <t xml:space="preserve">The Red finance program is the umbrella intervention encompassing four levels of funding: survivalist fund funding, small business fund funding, co-operatives fund funding and bridging finance funding for which there must be a valid government, municipality or state owned enterprise contract in place. 
</t>
    </r>
    <r>
      <rPr>
        <b/>
        <sz val="10"/>
        <color theme="1"/>
        <rFont val="Arial Nova"/>
        <family val="2"/>
      </rPr>
      <t xml:space="preserve">Direct lending: </t>
    </r>
    <r>
      <rPr>
        <sz val="10"/>
        <color theme="1"/>
        <rFont val="Arial Nova"/>
        <family val="2"/>
      </rPr>
      <t xml:space="preserve">Through the co-operatives fund they provide access to 10,000-100,000 ZAR to entrepreneurs in loans that are interest free. 
</t>
    </r>
    <r>
      <rPr>
        <b/>
        <sz val="10"/>
        <color theme="1"/>
        <rFont val="Arial Nova"/>
        <family val="2"/>
      </rPr>
      <t>Capacity building MSME</t>
    </r>
    <r>
      <rPr>
        <sz val="10"/>
        <color theme="1"/>
        <rFont val="Arial Nova"/>
        <family val="2"/>
      </rPr>
      <t>: Provide support for all aspects of business development and mentorship; from business planning to sourcing finance to manufacturing advice and even accounting and legal services. These services might be offered directly through the RED Door or through service providers linked to the RED Door.</t>
    </r>
  </si>
  <si>
    <t xml:space="preserve">
http://www.thedtic.gov.za/wp-content/uploads/W.Cape_.pdf
https://www.westerncape.gov.za/other/2005/9/other_smme.pdf
https://www.enterprise-development.org/wp-content/uploads/ScalingUp_SME_Access_to_Financial_Services.pdf
https://www.westerncape.gov.za/Text/2005/8/red_door_business_plan.pdf</t>
  </si>
  <si>
    <t>White Nile SME Fund</t>
  </si>
  <si>
    <t>* The fund aimed to achieve sustainable economic development by  encouraging entrepreneurship in the Sudanese market and creating a local manufacturing, services and agricultural base to provide the South-Sudanese economy with locally produced goods and services.</t>
  </si>
  <si>
    <r>
      <rPr>
        <b/>
        <sz val="10"/>
        <color theme="1"/>
        <rFont val="Arial Nova"/>
        <family val="2"/>
      </rPr>
      <t xml:space="preserve">Equity investment or incentives: </t>
    </r>
    <r>
      <rPr>
        <sz val="10"/>
        <color theme="1"/>
        <rFont val="Arial Nova"/>
        <family val="2"/>
      </rPr>
      <t>The fund is a US$50 million investment fund investing in SMEs. It is expected to provide risk capital to about 45 companies with an investment size in the range of US$100 000 to a maximum of US$2 million. In general, the Fund's investments are made mostly through mezzanine or quasi-equity instruments, including debt with profit sharing or a royalty scheme, preferred shares, convertible debt or subordinated debt with warrants.</t>
    </r>
  </si>
  <si>
    <t>45 companies</t>
  </si>
  <si>
    <t>https://www.ajol.info/index.php/aref/article/view/162159</t>
  </si>
  <si>
    <t>Small- and medium-sized enterprises (SMEs) Enabling Environment Support Facility</t>
  </si>
  <si>
    <t>Arab Monetary Fund, Small- and medium-sized enterprises (SMEs) Enabling Environment Support Facility</t>
  </si>
  <si>
    <t>To bolster micro, small and medium enterprises, as well as accelerate inclusive and sustainable economic growth and create jobs</t>
  </si>
  <si>
    <r>
      <rPr>
        <b/>
        <sz val="10"/>
        <color theme="1"/>
        <rFont val="Arial Nova"/>
        <family val="2"/>
      </rPr>
      <t xml:space="preserve">Direct lending: </t>
    </r>
    <r>
      <rPr>
        <sz val="10"/>
        <color theme="1"/>
        <rFont val="Arial Nova"/>
        <family val="2"/>
      </rPr>
      <t>The AMF will grant the loan to the African nation in a bid to bolster micro, small and medium enterprises, as well as accelerate inclusive and sustainable economic growth and create jobs, according to a press release.
Total loans given by the fund to Sudan, including the aforementioned agreement, reached 15 loans at a combined value of $582 million.</t>
    </r>
  </si>
  <si>
    <t>https://english.mubasher.info/news/3264567/AMF-to-grant-100m-loan-to-Sudan-for-SMEs-development/?currentUserCountryCode=--</t>
  </si>
  <si>
    <t>SME-CGS (Small medium enterprise Credit guarantee scheme)</t>
  </si>
  <si>
    <t>Ministry of Industry, Trade and Investment Bank of Tanzania</t>
  </si>
  <si>
    <t>Bank of Tanzania</t>
  </si>
  <si>
    <t>Financial institutions</t>
  </si>
  <si>
    <t xml:space="preserve">To promote and support development of the SME sector by creating an enabling environment for expanding and facilitating access to finance for the small and medium businesses and enabling them to acquire institutional support. </t>
  </si>
  <si>
    <r>
      <rPr>
        <b/>
        <sz val="10"/>
        <color theme="1"/>
        <rFont val="Arial Nova"/>
        <family val="2"/>
      </rPr>
      <t>Credit guarantee:</t>
    </r>
    <r>
      <rPr>
        <sz val="10"/>
        <color theme="1"/>
        <rFont val="Arial Nova"/>
        <family val="2"/>
      </rPr>
      <t xml:space="preserve">
* The Government of the United Republic of Tanzania announced establishment of a Credit Guarantee Scheme for the Small and Medium Entrepreneurs [SME] sector in Tanzania in June 2003. 
* The Ministry of Finance mandated the Bank of Tanzania to set up TAS. 500.00 million guarantees fund and outline the scheme’s operating guidelines. In this financial year 2004/2005, the Government further enhanced the guarantee fund to TAS. 2.0 billion. The Government would still inject up to TAS 3.0 billion in four years.
* SME's engaged in formal business with capital requirements of 5m up to 500m are potential beneficiaries of the scheme. The scheme shares risks with the PFI on every guaratee loan on a pro rata basis to the extent of 50% of the principal amount. In the 2016/2017 financial year, loans extended by lending institutions through SME-CGS amounted to TZS 1.9 billion.</t>
    </r>
  </si>
  <si>
    <t>Micro: 1-4 employees, capital investment up to 5 million Tshs
Small: 5-49 employees, Capital investment 5-200 million Tshs
Medium: 50-99 employees, Capital investment 200-800 million Tshs</t>
  </si>
  <si>
    <t xml:space="preserve">In 2017, 22 loans were proved to SME's. </t>
  </si>
  <si>
    <t>In the 2016/2017 financial year, loans extended by lending institutions through SME-CGS amounted to TZS 1.9 billion. The total capital amount as
of 31st December 2017 was 17 billion TZS while the cumulative guaranteed amount was 5 billion. TZS and the outstanding guaranteed amount 1 billion TZS. The NPL ratio is 4.9%.</t>
  </si>
  <si>
    <t>http://www.tzdpg.or.tz/fileadmin/documents/dpg_internal/dpg_working_groups_clusters/cluster_1/psdtrade/Documents/Draft_report_on_gurantee_schemes.pdf
http://www.tccia.com/tccia/wp-content/uploads/2012/11/credit_guarantee_scheme_bot.pdf
https://www.bot.go.tz/Publications/Regular/Consolidated%20Zonal%20Economic%20Report/en/2020021122491213602.pdf</t>
  </si>
  <si>
    <t>Private Agricultural Sector Support Trust (PASS)</t>
  </si>
  <si>
    <t>Government of Tanzania and Government of Denmark</t>
  </si>
  <si>
    <t>Ministry of Agriculture and Livestock</t>
  </si>
  <si>
    <t>* To facilitate access to financial and business development services for agribusiness entrepreneurs in Tanzania.</t>
  </si>
  <si>
    <r>
      <rPr>
        <b/>
        <sz val="10"/>
        <color theme="1"/>
        <rFont val="Arial Nova"/>
        <family val="2"/>
      </rPr>
      <t xml:space="preserve">Credit guarantee: </t>
    </r>
    <r>
      <rPr>
        <sz val="10"/>
        <color theme="1"/>
        <rFont val="Arial Nova"/>
        <family val="2"/>
      </rPr>
      <t xml:space="preserve">A partial credit guarantee cover to collaborating banks as a means of topping up inadequate collateral to enable clients get financing. Beneficiaries can be individuals (SMEs or farmers) or farmer groups. 
</t>
    </r>
    <r>
      <rPr>
        <b/>
        <sz val="10"/>
        <color theme="1"/>
        <rFont val="Arial Nova"/>
        <family val="2"/>
      </rPr>
      <t xml:space="preserve">Capacity building MSMEs: </t>
    </r>
    <r>
      <rPr>
        <sz val="10"/>
        <color theme="1"/>
        <rFont val="Arial Nova"/>
        <family val="2"/>
      </rPr>
      <t>Business Development services such as feasibility studies, supports development of business plans and conducts training or organisation of farmer groups.</t>
    </r>
  </si>
  <si>
    <t>50% of beneficiaries are women</t>
  </si>
  <si>
    <t>Business development training for SMEs (sub-intervention not included here)</t>
  </si>
  <si>
    <t>SDG 1 No Poverty, and SDG 2 Zero Hunger - By enabling agribusiness entrepreneurs’ access to finance and BDS services, PASS supports livelihoods, increased income and employment (SDG 8 Decent Work and Economic Growth). PASS is aware that gender equality is necessary for sustainable development – therefore, a target has been set that 50% of PASS beneficiaries will be women (SDG 5 Gender Equality). In 2019 PASS formulated a Policy on Environmental and Social Sustainability that put even greater emphasis on developing a portfolio of greener projects (SDG 13 Climate Action). Finally, PASS will strengthen partnerships with relevant stakeholders to explore synergies, a focus area that will be even more important in the new phase with regard to digitalising PASS products (SDG 17 Partnerships).</t>
  </si>
  <si>
    <t>Since inception in the year 2000 until March 2020 (2000 -31st March 2020), a total of 36,007 projects worth Sh 916.4 Billion have been approved and guaranteed by PASS, with at least 1,196,891 agribusiness entrepreneurs benefiting from this guarantee.</t>
  </si>
  <si>
    <t>Out of all the beneficiaries more than 45% are women. This is below the 50% target that PASS has. An estimated 2.5Million jobs have also been created as a result of these support, thus improving people’s lives.</t>
  </si>
  <si>
    <t>https://um.dk/~/media/um/english-site/documents/danida/about-danida/danida%20transparency/documents/u%2037/2019/pass%20tanzania.pdf?la=en
https://www.thecitizen.co.tz/supplement/PASS-Trust-celebrates-20-years-of-support-to-the-agricultural-/5043016-5615498-nsjon2z/index.html</t>
  </si>
  <si>
    <t>World Bank Private Sector Competitiveness Project (PSCP)</t>
  </si>
  <si>
    <t>World Bank, Danida</t>
  </si>
  <si>
    <t>Prime Ministers Office, Bank of Tanzania</t>
  </si>
  <si>
    <t>Capacity building MSMEs, Constraint/landscape assessment, Collateral registry, Regulatory environment, Payment system infrastructure</t>
  </si>
  <si>
    <t xml:space="preserve">* The Project’s original development objective (PDO) was to create sustainable conditions for enterprise creation and growth through a series of initiatives aimed at reducing the cost of doing business and increasing the capacity of the local private sector to participate in domestic and international markets, and to access relevant financial services. </t>
  </si>
  <si>
    <r>
      <rPr>
        <b/>
        <sz val="10"/>
        <color theme="1"/>
        <rFont val="Arial Nova"/>
        <family val="2"/>
      </rPr>
      <t xml:space="preserve">Capacity building MSMEs: </t>
    </r>
    <r>
      <rPr>
        <sz val="10"/>
        <color theme="1"/>
        <rFont val="Arial Nova"/>
        <family val="2"/>
      </rPr>
      <t>Training to develop resources and capacity to serve low income groups.</t>
    </r>
    <r>
      <rPr>
        <b/>
        <sz val="10"/>
        <color theme="1"/>
        <rFont val="Arial Nova"/>
        <family val="2"/>
      </rPr>
      <t xml:space="preserve">
Grants and subsidies: </t>
    </r>
    <r>
      <rPr>
        <sz val="10"/>
        <color theme="1"/>
        <rFont val="Arial Nova"/>
        <family val="2"/>
      </rPr>
      <t xml:space="preserve">Provide grants to entrepreneurs on the basis of a business plan competition. 
</t>
    </r>
    <r>
      <rPr>
        <b/>
        <sz val="10"/>
        <color theme="1"/>
        <rFont val="Arial Nova"/>
        <family val="2"/>
      </rPr>
      <t>Constraint/landscape assessment</t>
    </r>
    <r>
      <rPr>
        <sz val="10"/>
        <color theme="1"/>
        <rFont val="Arial Nova"/>
        <family val="2"/>
      </rPr>
      <t xml:space="preserve">: Increase access to financial services by contributing to the Financial Services Deepening Trust (FSDT) and providing TA and financing for studies
</t>
    </r>
    <r>
      <rPr>
        <b/>
        <sz val="10"/>
        <color theme="1"/>
        <rFont val="Arial Nova"/>
        <family val="2"/>
      </rPr>
      <t xml:space="preserve">Collateral registry: </t>
    </r>
    <r>
      <rPr>
        <sz val="10"/>
        <color theme="1"/>
        <rFont val="Arial Nova"/>
        <family val="2"/>
      </rPr>
      <t xml:space="preserve">Fixing weaknesses in the collateral system
</t>
    </r>
    <r>
      <rPr>
        <b/>
        <sz val="10"/>
        <color theme="1"/>
        <rFont val="Arial Nova"/>
        <family val="2"/>
      </rPr>
      <t xml:space="preserve">Payment system infrastructure: </t>
    </r>
    <r>
      <rPr>
        <sz val="10"/>
        <color theme="1"/>
        <rFont val="Arial Nova"/>
        <family val="2"/>
      </rPr>
      <t xml:space="preserve">Developing standards for overseeing mobile financial services infrastructure.
</t>
    </r>
    <r>
      <rPr>
        <b/>
        <sz val="10"/>
        <color theme="1"/>
        <rFont val="Arial Nova"/>
        <family val="2"/>
      </rPr>
      <t>Regulatory environment:</t>
    </r>
    <r>
      <rPr>
        <sz val="10"/>
        <color theme="1"/>
        <rFont val="Arial Nova"/>
        <family val="2"/>
      </rPr>
      <t xml:space="preserve">
* Strengthening the Business Environment supported by the Business Environment Strengthening for Tanzania (BEST4) program to reduce the costs of investing in and operating business in Tanzania by reducing the regulatory and institutional constraints inhibiting a growing and competitive private sector.
* The Business Registration and Licensing Authority (BRELA) was modernized, by
introducing time-saving technologies, streamlining and simplification of the business
registration procedures, reorganization of workflow process and integration with other agencies, thereby improving the efficiency of business regulations and spurring new business startups.
* Improving the policy and regulatory framework for delivery of financial services.
* Setting up a legal framework for a deposit insurance system in Tanzania.</t>
    </r>
  </si>
  <si>
    <t>Number of formal MSME's increased - 75,000 
Number of direct beneficiaries 35,000
41% of projects should be female beneficiaries</t>
  </si>
  <si>
    <t>Cluster competitiveness program, Matching grant program, Tanzania Business Development Gateway (BDG) Programme, Business linkage programme (sub-interventions not included here)</t>
  </si>
  <si>
    <t xml:space="preserve">Matching grant outcomes:
910 grants provided to MSMEs, 2,010 microenterprises and their employees trained in entrepreneurship (target was 1,000 microenterprises). 
BDG outcomes
11,000 MSMEs members trained in capacity building that has empowered both men and women trained with new business ideas,
8,736 MSMEs provided with entrepreneurship training that has increased their productivity,
5,994 MSMEs provided with grants that has enabled some to upgrade their businesses and others to use the training offered to start own businesses.
26 business clubs established in the regions are fully operational providing much needed business
support, including sourcing markets for the entrepreneurs. </t>
  </si>
  <si>
    <t>The Project provided initial Credit of $95 million equivalentand a subsequent Additional Financing (AF) Credit of $60.2 million equivalent to the Government of Tanzania (GoT) to support the development of private sector in the country and contribute to the deepening of financial sector. 
Cluster competitiveness
1,000 farmers trained in farming as a business and their productivity has increased,550 farmers and 16 local consultants have been trained on global GAP Standard thus enhancing competitiveness in the industry,
500 taxi drivers certified in tourism friendly services, thus enhancing their capacity to provide betterservices to the tourism sub-sector,
10 tour guides trained and certified, thus offering better services to tourists,
Established the Association of Women in Tourism, thus increasing women participation in the tourism industry</t>
  </si>
  <si>
    <t>http://documents1.worldbank.org/curated/en/695891554411693994/pdf/Tanzania-Private-Sector-Competitiveness-Project.pdf</t>
  </si>
  <si>
    <t>Small Enterprises Loan Facilities (SELF)</t>
  </si>
  <si>
    <t>Government of Tanzania, funded by the African Development Bank</t>
  </si>
  <si>
    <t>Ministry of Planning, Economy &amp; Empowerment as well as the Ministry of Finance &amp; Economic Affairs</t>
  </si>
  <si>
    <t>Women, Rural livelihoods</t>
  </si>
  <si>
    <t>MFIs, Training Institutions</t>
  </si>
  <si>
    <t>i) Credit and Savings Services: to provide wholesale funding to intermediary MFIs for retail on-lending to target clients. The lending process and eligibility criteria were stipulated in the project operations manual.
ii) Outreach and Monitoring: (a) to inform and educate the target groups on the availability of credit, changing attitude and promotion of culture built on the use of best practices in microfinance; and (b) monitoring implementation, evaluating operations and assessing the outcomes and impact of the project on targeted clients.
iii) Capacity Building: To support capacity building and training activities targeted to various stakeholders following a training needs assessment. The ADF Microfinance Initiative (AMINA) was expected to support training of various stakeholders.
iv) Project Implementation Unit: Financial, logistical and technical support were provided to ensure that the PIU is adequately staffed and equipped to undertake the day-to-day management of project activities.</t>
  </si>
  <si>
    <r>
      <rPr>
        <b/>
        <sz val="10"/>
        <color theme="1"/>
        <rFont val="Arial Nova"/>
        <family val="2"/>
      </rPr>
      <t>Capacity building financial institutions:</t>
    </r>
    <r>
      <rPr>
        <sz val="10"/>
        <color theme="1"/>
        <rFont val="Arial Nova"/>
        <family val="2"/>
      </rPr>
      <t xml:space="preserve">
 * Capacity building and training activities were outsourced to private service providers such as K-Rep in Kenya, Ernest and Young, Tanzania Cooperative College, Moshi University College of Cooperative &amp; Business Studies (MUCC&amp;BS), and Savings and Credit Cooperative Union League for Tanzania (SCCULT). 
* In order to adequately address gaps in skills and institutional weakness all training activities were preceded by training needs assessment (TNA) exercise. A total of 5,631 personnel from 471 MFIs were trained. These included: Finance and Credit Managers; Credit Officers; Treasurers and Clerks; Supervisory Committees; Credit Committee and Board Members; regional and district leaders; and district cooperative officers. The capacity building activities also benefited 3,472 clients. 
</t>
    </r>
    <r>
      <rPr>
        <b/>
        <sz val="10"/>
        <color theme="1"/>
        <rFont val="Arial Nova"/>
        <family val="2"/>
      </rPr>
      <t xml:space="preserve">Credit guarantee: </t>
    </r>
    <r>
      <rPr>
        <sz val="10"/>
        <color theme="1"/>
        <rFont val="Arial Nova"/>
        <family val="2"/>
      </rPr>
      <t xml:space="preserve">The credit fund reached out to 186 intermediary MFIs and SACCOS in 81 districts in 19 regions of Tanzania mainland and Zanzibar. These intermediaries on-lent the credit funds to 60,016 active small entrepreneurs of which 59% were women. </t>
    </r>
  </si>
  <si>
    <t xml:space="preserve">Borrowers estimated to be 27,600 at appraisal stage </t>
  </si>
  <si>
    <t xml:space="preserve">The total of 60,016 ultimate borrowers accessed credit </t>
  </si>
  <si>
    <t xml:space="preserve">Income of target clients increased by 50% on average and 136,000 permanent jobs created186 MFI accessed with loans valued TZS
14.8 billion. The total of 3,472 clients received business and entrepreneurial training </t>
  </si>
  <si>
    <t>https://www.afdb.org/sites/default/files/documents/projects-and-operations/tanzania._small_entrepreneurs_loan_facility_project_self_en_.pdf</t>
  </si>
  <si>
    <t>The Gambia National Policy for MSMEs 2019- 2024</t>
  </si>
  <si>
    <t>Government of The Gambia</t>
  </si>
  <si>
    <t>Ministry of Finance and Economic Affairs, Ministry of Trade, Industry, Regional Integration &amp; Employment, Gambia Chamber of Commerce, Gambia Investment &amp; Export Promotion Agency</t>
  </si>
  <si>
    <t>Deferral/restructuring of payments, Enabling infrastructure</t>
  </si>
  <si>
    <t>Capacity building financial institutions, Capacity building MSMEs, Credit information system, Early-stage finance, Collateral registry, Other Regulatory environment</t>
  </si>
  <si>
    <t>Commercial Bank, MFIs</t>
  </si>
  <si>
    <t>* To establish an efficient and effective MSME sector
that both serves the needs of the poorer members of society and serves the needs of national economic growth and development.</t>
  </si>
  <si>
    <r>
      <rPr>
        <b/>
        <sz val="10"/>
        <color theme="1"/>
        <rFont val="Arial Nova"/>
        <family val="2"/>
      </rPr>
      <t xml:space="preserve">Capacity building financial institutions:
</t>
    </r>
    <r>
      <rPr>
        <sz val="10"/>
        <color theme="1"/>
        <rFont val="Arial Nova"/>
        <family val="2"/>
      </rPr>
      <t>* To establish an MSME Fund for the purpose of providing a line of credit to banks, which they would on lend to Gambian MSMEs at an acceptable spread. 
* Establish an MSME Fund for the purpose of providing a line of creditto banks,
which they would on lend to Gambian MSMEs at an acceptable spread.</t>
    </r>
    <r>
      <rPr>
        <b/>
        <sz val="10"/>
        <color theme="1"/>
        <rFont val="Arial Nova"/>
        <family val="2"/>
      </rPr>
      <t xml:space="preserve">
Capacity building MSMEs: 
</t>
    </r>
    <r>
      <rPr>
        <sz val="10"/>
        <color theme="1"/>
        <rFont val="Arial Nova"/>
        <family val="2"/>
      </rPr>
      <t xml:space="preserve">* Enhancement of capacity of insitutions providing business trainings and BDS to MSMEs.
* A focus on business education at all levels to encourage students to develop business ideas into realistic business proposals, will be supported by a post graduate MSME Institute.
</t>
    </r>
    <r>
      <rPr>
        <b/>
        <sz val="10"/>
        <color theme="1"/>
        <rFont val="Arial Nova"/>
        <family val="2"/>
      </rPr>
      <t xml:space="preserve">Credit information system: </t>
    </r>
    <r>
      <rPr>
        <sz val="10"/>
        <color theme="1"/>
        <rFont val="Arial Nova"/>
        <family val="2"/>
      </rPr>
      <t xml:space="preserve">A credit reference bureau has been established by CBG that will provide client information to banks. 
</t>
    </r>
    <r>
      <rPr>
        <b/>
        <sz val="10"/>
        <color theme="1"/>
        <rFont val="Arial Nova"/>
        <family val="2"/>
      </rPr>
      <t>Deferral/restructuring of payments:</t>
    </r>
    <r>
      <rPr>
        <sz val="10"/>
        <color theme="1"/>
        <rFont val="Arial Nova"/>
        <family val="2"/>
      </rPr>
      <t xml:space="preserve">
* Aim to support tax holidays for start-ups.
* Waiver on VAT on import of inputs (e.g. raw materials) for up to 5 years if
the business employees an additional 15employs of which 90% are Gambians.The current system of paying the VAT and then obtaining a refund ties up capital unnecessarily.
</t>
    </r>
    <r>
      <rPr>
        <b/>
        <sz val="10"/>
        <color theme="1"/>
        <rFont val="Arial Nova"/>
        <family val="2"/>
      </rPr>
      <t xml:space="preserve">Early-stage finance: </t>
    </r>
    <r>
      <rPr>
        <sz val="10"/>
        <color theme="1"/>
        <rFont val="Arial Nova"/>
        <family val="2"/>
      </rPr>
      <t xml:space="preserve">Financial products that focus on youth, limited to those who are 35 years old and under, could include credit (including start up credit) – with limited collateral requirements. </t>
    </r>
    <r>
      <rPr>
        <b/>
        <sz val="10"/>
        <color theme="1"/>
        <rFont val="Arial Nova"/>
        <family val="2"/>
      </rPr>
      <t xml:space="preserve">
Collateral registry:</t>
    </r>
    <r>
      <rPr>
        <sz val="10"/>
        <color theme="1"/>
        <rFont val="Arial Nova"/>
        <family val="2"/>
      </rPr>
      <t xml:space="preserve"> Improve the current system for registering a property, by reducing the number of procedures, the time and the cost. A registered property is an important asset for any SME as it may be used as the basis of collateral for a bank loan.
</t>
    </r>
    <r>
      <rPr>
        <b/>
        <sz val="10"/>
        <color theme="1"/>
        <rFont val="Arial Nova"/>
        <family val="2"/>
      </rPr>
      <t>Other</t>
    </r>
    <r>
      <rPr>
        <sz val="10"/>
        <color theme="1"/>
        <rFont val="Arial Nova"/>
        <family val="2"/>
      </rPr>
      <t xml:space="preserve">: MOTIE with the support of the UNDP is working on opening a Single Window Business Registry (SWBR) that would assist in contracting the informal sector as well as the efficient delivery of government services to the public in a quick, cheap and transparent manner. 
</t>
    </r>
    <r>
      <rPr>
        <b/>
        <sz val="10"/>
        <color theme="1"/>
        <rFont val="Arial Nova"/>
        <family val="2"/>
      </rPr>
      <t xml:space="preserve">Regulatory environment: </t>
    </r>
    <r>
      <rPr>
        <sz val="10"/>
        <color theme="1"/>
        <rFont val="Arial Nova"/>
        <family val="2"/>
      </rPr>
      <t xml:space="preserve">The development of a single window registration center, in each of the administrative regions of The Gambia, to register all businesses. </t>
    </r>
  </si>
  <si>
    <t>Identify and prepare business plans for (a minimum of 50) investment opportunities as
a pilot scheme within The Gambia for all potential MSME investors.</t>
  </si>
  <si>
    <t>Micro: 1-4 employees, 0-25000 GMD paid in capital/assets, 0-500000 GMD in sales 
Small: 5-15 employees, 25000-1 million GMD paid in capital/assets, 500001-2 million GMD in sales
Medium: 16-49 employees, 1-5 million GMD paid in capital/assets, 2-10 million GMD in sales</t>
  </si>
  <si>
    <t xml:space="preserve">The National Development Plan 2018 – 2021 </t>
  </si>
  <si>
    <t>https://en.unesco.org/creativity/sites/creativity/files/qpr/msme_policy_2019_-_2024.pdf</t>
  </si>
  <si>
    <t>Social Development Fund</t>
  </si>
  <si>
    <t>African development bank</t>
  </si>
  <si>
    <t>Ministry of Finance and Economic Affairs</t>
  </si>
  <si>
    <t xml:space="preserve"> Capacity building MSMEs</t>
  </si>
  <si>
    <t>To become a viable and financially sustainable apex institution delivering financial and non-financial services to intermediaries that offer access to financial services for the economically active poor to set up and sustain small and micro enterprises in The Gambia</t>
  </si>
  <si>
    <r>
      <rPr>
        <b/>
        <sz val="10"/>
        <color theme="1"/>
        <rFont val="Arial Nova"/>
        <family val="2"/>
      </rPr>
      <t xml:space="preserve">Direct lending: </t>
    </r>
    <r>
      <rPr>
        <sz val="10"/>
        <color theme="1"/>
        <rFont val="Arial Nova"/>
        <family val="2"/>
      </rPr>
      <t xml:space="preserve">The SDF engages in the provision of capital to intermediaries for onward lending to end-users in need of seed capital, or capital for expanding their businesses.The SDF directs its wholesale lending operations to prudently managed intermediaries. 
</t>
    </r>
    <r>
      <rPr>
        <b/>
        <sz val="10"/>
        <color theme="1"/>
        <rFont val="Arial Nova"/>
        <family val="2"/>
      </rPr>
      <t xml:space="preserve">Capacity building MSMEs:
* </t>
    </r>
    <r>
      <rPr>
        <sz val="10"/>
        <color theme="1"/>
        <rFont val="Arial Nova"/>
        <family val="2"/>
      </rPr>
      <t>Provides institutional capacity building support for intermediaries
* Pre-loan disbursement training to beneficiaries. The pre-loan Disbursement training session is to enhance beneficiary skills in managing various microenterprise operations, as well as their obligations in managing loan contracts.</t>
    </r>
  </si>
  <si>
    <t>The cumulative disbursement for the period July 2014 to end December 2019 benefitted 26,212 individuals (20,033 females and 6,179 males)</t>
  </si>
  <si>
    <t>The cumulative disbursement for the period July 2014 to end December 2019 was D178, 286,127.20 (One Hundred and Seventy-Eight Million Two Hundred and Eighty-Six Thousand One Hundred and Twenty-Seven Dalasis Twenty Bututs) with a cumulative repayment rate of 98%</t>
  </si>
  <si>
    <t>http://sdfgambia.gm/wp-content/uploads/2020/03/Final-REVISED-CRC-Report-JULY-TO-DECEMBER-2019-CRC-Reoprt-Final-Version.pdf
https://www.facebook.com/pg/Social-Development-Fund-The-Gambia-725670404463852/posts/
https://sdfgambia.gm/background/</t>
  </si>
  <si>
    <t>Youth Empowerment Project (YEP) micro-loan scheme</t>
  </si>
  <si>
    <t>November 2018</t>
  </si>
  <si>
    <t>October 2021</t>
  </si>
  <si>
    <t>Funded by the International Trade Centre, and includes the Gambia Youth Empowerment Project (YEP) and the Social Development Fund (SDF)</t>
  </si>
  <si>
    <t>Gambia Youth Empowerment Project (YEP) and the Social Development Fund (SDF)</t>
  </si>
  <si>
    <t xml:space="preserve">* The Mini-Loans Scheme aims at facilitating the acquisition of small machinery and equipment, acquisition of new premises, improvement and expanding of existing premises, equipment for franchises, and working capital for young entrepreneurs desiring to grow their businesses and already established small-scale businesses. </t>
  </si>
  <si>
    <r>
      <rPr>
        <b/>
        <sz val="10"/>
        <color theme="1"/>
        <rFont val="Arial Nova"/>
        <family val="2"/>
      </rPr>
      <t xml:space="preserve">Direct lending: </t>
    </r>
    <r>
      <rPr>
        <sz val="10"/>
        <color theme="1"/>
        <rFont val="Arial Nova"/>
        <family val="2"/>
      </rPr>
      <t>The average loan amount per beneficiary is GMD 150,000 ($3,000). The amount of financing to a single beneficiary is dependent on the application assessment and business plan proposed, but will not exceed GMD 480,000 ($10,000). The loan term will be a maximum period of 12 months and a minimum period of 6 months per loan cycle. A maximum annual interest rate of 10% be applied.</t>
    </r>
  </si>
  <si>
    <t>The scheme aims facilitate access to financing for up to 580 youth-owned enterprises</t>
  </si>
  <si>
    <t>no link</t>
  </si>
  <si>
    <t>8 businesses</t>
  </si>
  <si>
    <t xml:space="preserve">140, 000.00 (Two Million One Hundred and Forty Thousand Dalasis) was disbursed under the SDF/YEP Mini Loan Scheme. </t>
  </si>
  <si>
    <t>https://ec.europa.eu/trustfundforafrica/all-news-and-stories/mini-loans-scheme-young-gambian-entrepreneurs-launched-yep_en
https://yep.gm/opportunity/mini-loan-scheme
https://sdfgambia.gm/sdf-yep-partnership/</t>
  </si>
  <si>
    <t>Charte des petites et moyennes entreprises et industries (PME/PMI) du togo</t>
  </si>
  <si>
    <t>Credit guarantee, Direct lending, Enabling infrastructure, MSME procurement</t>
  </si>
  <si>
    <t>Capacity building MSMEs, Other, Stock market development</t>
  </si>
  <si>
    <t>* Define the small and medium-sized enterprises and industries referred to below "SMEs" or "SMIs" as well as the support measures to be provided to them, the advantages to be granted to them, but also the commitments they will have take vis - à - vis their partners as part of their recognition by the charter.
* Define the roles and responsibilities of the actors in order to involve them more.
* Strengthen the mechanisms favoring good management of SMEs / SMIs;- mobilize resources for the benefit of the various actors.</t>
  </si>
  <si>
    <r>
      <rPr>
        <b/>
        <sz val="10"/>
        <color theme="1"/>
        <rFont val="Arial Nova"/>
        <family val="2"/>
      </rPr>
      <t xml:space="preserve">Credit guarantee: </t>
    </r>
    <r>
      <rPr>
        <sz val="10"/>
        <color theme="1"/>
        <rFont val="Arial Nova"/>
        <family val="2"/>
      </rPr>
      <t xml:space="preserve">The guarantee fund provides up to 75% reimbursement of the principal amount of the loan granted by the participating institutions, increased by normal interest and, where applicable, default interest. This warranty is granted in the form of an endorsement.
</t>
    </r>
    <r>
      <rPr>
        <b/>
        <sz val="10"/>
        <color theme="1"/>
        <rFont val="Arial Nova"/>
        <family val="2"/>
      </rPr>
      <t xml:space="preserve">Capacity building MSMEs: </t>
    </r>
    <r>
      <rPr>
        <sz val="10"/>
        <color theme="1"/>
        <rFont val="Arial Nova"/>
        <family val="2"/>
      </rPr>
      <t xml:space="preserve">Access for SMEs / SMIs to information and training for their human resources in general.
</t>
    </r>
    <r>
      <rPr>
        <b/>
        <sz val="10"/>
        <color theme="1"/>
        <rFont val="Arial Nova"/>
        <family val="2"/>
      </rPr>
      <t xml:space="preserve">Direct lending: </t>
    </r>
    <r>
      <rPr>
        <sz val="10"/>
        <color theme="1"/>
        <rFont val="Arial Nova"/>
        <family val="2"/>
      </rPr>
      <t xml:space="preserve">Loans to women entrepreneurs. Among the 30% of contracts reserved for SMEs / SMIs, 10% will be reserved for women owned and operated businesses subject to justification skills and qualifications required.
</t>
    </r>
    <r>
      <rPr>
        <b/>
        <sz val="10"/>
        <color theme="1"/>
        <rFont val="Arial Nova"/>
        <family val="2"/>
      </rPr>
      <t xml:space="preserve">Other: </t>
    </r>
    <r>
      <rPr>
        <sz val="10"/>
        <color theme="1"/>
        <rFont val="Arial Nova"/>
        <family val="2"/>
      </rPr>
      <t xml:space="preserve">Tax exemptions for SMEs / SMIs of production and transformation. A tax system specific to SMEs / SMIs of production and transformation and those using national resources will be implemented by the State by regulation.
</t>
    </r>
    <r>
      <rPr>
        <b/>
        <sz val="10"/>
        <color theme="1"/>
        <rFont val="Arial Nova"/>
        <family val="2"/>
      </rPr>
      <t xml:space="preserve">MSME procurement: </t>
    </r>
    <r>
      <rPr>
        <sz val="10"/>
        <color theme="1"/>
        <rFont val="Arial Nova"/>
        <family val="2"/>
      </rPr>
      <t xml:space="preserve">The State undertakes to encourage the development of public / private partnership and tobroaden the scope of public service concessions for the benefit of SMEs / SMIs. To this end, it will be set annually, by regulation, for each ministry, decentralized authority, administration or company in the sectorparapublic, the following mandatory subcontracting terms for the benefit ofSMEs/SMIs recognized by the charter:- micro - enterprises and small enterprises and industries: between 10 and 20% of budgets; medium-sized businesses and industries: between 20 and 40% of budgets.
</t>
    </r>
    <r>
      <rPr>
        <b/>
        <sz val="10"/>
        <color theme="1"/>
        <rFont val="Arial Nova"/>
        <family val="2"/>
      </rPr>
      <t xml:space="preserve">Stock market development: </t>
    </r>
    <r>
      <rPr>
        <sz val="10"/>
        <color theme="1"/>
        <rFont val="Arial Nova"/>
        <family val="2"/>
      </rPr>
      <t>Collective investment undertakings in transferable securities (UCITS) to compartments (shares) will be created at the Regional Stock Exchange Movable.</t>
    </r>
  </si>
  <si>
    <r>
      <rPr>
        <i/>
        <sz val="10"/>
        <color theme="1"/>
        <rFont val="Arial Nova"/>
        <family val="2"/>
      </rPr>
      <t>In the manufacturing, agricultural or forestry sector</t>
    </r>
    <r>
      <rPr>
        <sz val="10"/>
        <color theme="1"/>
        <rFont val="Arial Nova"/>
        <family val="2"/>
      </rPr>
      <t xml:space="preserve"> 
Micro: 
i) Employs less than 10 permanent employees 
ii) Annual turnover does not exceed 30 million CFA francs or the total balance sheet does not exceed not 20 million CFA francs.
Small: 
i) Employs less than 50 permanent employees
ii) Annual turnover does not exceed 250 million CFA francs or the total balance sheet does not exceed not 250 million CFA francs
Medium: 
i) Employs less than 100 permanent employees
ii) Annual turnover does not exceed 500 million CFA francs or the total balance sheet does not exceed not 750 million CFA francs
</t>
    </r>
    <r>
      <rPr>
        <i/>
        <sz val="10"/>
        <color theme="1"/>
        <rFont val="Arial Nova"/>
        <family val="2"/>
      </rPr>
      <t xml:space="preserve">In the wholesale trade sector
</t>
    </r>
    <r>
      <rPr>
        <sz val="10"/>
        <color theme="1"/>
        <rFont val="Arial Nova"/>
        <family val="2"/>
      </rPr>
      <t xml:space="preserve">Micro: 
i) Employs less than 5 employees permanent staff
ii) Annual turnover does not exceed 30 million CFA francs or the total balance sheet does not exceed 15 million CFA francs
Small: 
i) Employs less than 50 people permanent staff
ii) Annual turnover does not exceed 200 million of CFA francs or the total balance sheet does not exceed 150 million CFA francs
Medium:
i) Employs less than 50 people permanent staff
ii) Annual turnover does not exceed 250 million of CFA francs or the total balance sheet does not exceed 250 million CFA francs
</t>
    </r>
    <r>
      <rPr>
        <i/>
        <sz val="10"/>
        <color theme="1"/>
        <rFont val="Arial Nova"/>
        <family val="2"/>
      </rPr>
      <t xml:space="preserve">In the retail sector
</t>
    </r>
    <r>
      <rPr>
        <sz val="10"/>
        <color theme="1"/>
        <rFont val="Arial Nova"/>
        <family val="2"/>
      </rPr>
      <t xml:space="preserve">Micro:
i) Employs less than 5 employees permanent staff 
ii) Annual turnover does not exceed 30 million CFA francs or the total balance sheet does not exceed 10 million CFA francs
Small:
i) Employs less than 30 people permanent staff
ii) Annual turnover does not exceed 100 million of CFA francs or the total balance sheet does not exceed 50 million CFA francs
Medium: 
i) Employs less than 50 people permanent staff 
ii) Annual turnover does not exceed 250 million of CFA francs or the total balance sheet does not exceed 250 million CFA francs
</t>
    </r>
    <r>
      <rPr>
        <i/>
        <sz val="10"/>
        <color theme="1"/>
        <rFont val="Arial Nova"/>
        <family val="2"/>
      </rPr>
      <t>In the service sector</t>
    </r>
    <r>
      <rPr>
        <sz val="10"/>
        <color theme="1"/>
        <rFont val="Arial Nova"/>
        <family val="2"/>
      </rPr>
      <t xml:space="preserve">
Micro:
i) Employs less than 10 employees permanent staff 
ii) Annual turnover does not exceed 30 million CFA francs or the total balance sheet does not exceed 10 million CFA francs
Small: 
i) Employs less than 30 people permanent staff
ii) Annual turnover does not exceed 100 million of CFA francs or the total balance sheet does not exceed 75 million CFA francs
Medium:
i) Employs less than 50 people permanent staff
ii) Annual turnover does not exceed 250 million of CFA francs or the total balance sheet does not exceed 250 million CFA francs
</t>
    </r>
    <r>
      <rPr>
        <i/>
        <sz val="10"/>
        <color theme="1"/>
        <rFont val="Arial Nova"/>
        <family val="2"/>
      </rPr>
      <t xml:space="preserve">In the mining sector
</t>
    </r>
    <r>
      <rPr>
        <sz val="10"/>
        <color theme="1"/>
        <rFont val="Arial Nova"/>
        <family val="2"/>
      </rPr>
      <t xml:space="preserve">Micro: 
i)  Employs less than 10 employees permanent staff 
ii) Annual turnover does not exceed 30 million CFA francs or the total balance sheet does not exceed 10 million CFA francs
Small:
i) Employs less than 30 people permanent staff
ii)  Annual turnover does not exceed 100 million of CFA francs or the total balance sheet does not exceed 75 million CFA francs
Medium:
i) Employs less than 50 people permanent staff
ii) Annual turnover does not exceed 250 million of CFA francs or the total balance sheet does not exceed 250 million CFA francs
</t>
    </r>
  </si>
  <si>
    <t>http://ambassadedutogo.ch/docs/CHARTE-PME-VERSION-FINALISEE(1).pdf</t>
  </si>
  <si>
    <t>l’Agence Nationale de Promotion et de Garantie de Financement des PME/PMI (ANPGF)</t>
  </si>
  <si>
    <t xml:space="preserve">Credit guarantee, Direct lending, Enabling infrastructure, Equity investment or incentives </t>
  </si>
  <si>
    <t>* To assist and supervise small and medium-sized enterprises as well as micro-enterprises which operate in the sectors of production of goods and services with a view to their promotion and the facilitation of access to financing of their activities.</t>
  </si>
  <si>
    <r>
      <rPr>
        <b/>
        <sz val="10"/>
        <color theme="1"/>
        <rFont val="Arial Nova"/>
        <family val="2"/>
      </rPr>
      <t>Credit guarantee</t>
    </r>
    <r>
      <rPr>
        <sz val="10"/>
        <color theme="1"/>
        <rFont val="Arial Nova"/>
        <family val="2"/>
      </rPr>
      <t xml:space="preserve">: The Guarantee of bank loans in favor of SMEs / SMIs is a commitment by signature of the ANPGF which reduces the risk taken by financial institutions (FIs) and reduces the guarantees required by them to finance companies. This is a firm guarantee that covers 50% of the assistance granted to SMEs by FIs.
</t>
    </r>
    <r>
      <rPr>
        <b/>
        <sz val="10"/>
        <color theme="1"/>
        <rFont val="Arial Nova"/>
        <family val="2"/>
      </rPr>
      <t>Direct lending</t>
    </r>
    <r>
      <rPr>
        <sz val="10"/>
        <color theme="1"/>
        <rFont val="Arial Nova"/>
        <family val="2"/>
      </rPr>
      <t xml:space="preserve">: Corporate Financing Via Partner Financial Institutions is a service through which the ANPGF offers, through its financial partners, repayable financing adapted to SMEs / SMIs in the production sector.
</t>
    </r>
    <r>
      <rPr>
        <b/>
        <sz val="10"/>
        <color theme="1"/>
        <rFont val="Arial Nova"/>
        <family val="2"/>
      </rPr>
      <t>Equity investment or incentives</t>
    </r>
    <r>
      <rPr>
        <sz val="10"/>
        <color theme="1"/>
        <rFont val="Arial Nova"/>
        <family val="2"/>
      </rPr>
      <t xml:space="preserve">: The participatory loan or investment capital is a financial activity consisting for the ANPGF to enter into the formation of the capital of companies that need equity capital. 
</t>
    </r>
    <r>
      <rPr>
        <b/>
        <sz val="10"/>
        <color theme="1"/>
        <rFont val="Arial Nova"/>
        <family val="2"/>
      </rPr>
      <t xml:space="preserve">Grants and subsidies: </t>
    </r>
    <r>
      <rPr>
        <sz val="10"/>
        <color theme="1"/>
        <rFont val="Arial Nova"/>
        <family val="2"/>
      </rPr>
      <t>ANPGF price competition - give the best chances of success to those with business creation / takeover projects by offering the most promising financial support or appropriate support.</t>
    </r>
  </si>
  <si>
    <t xml:space="preserve">https://anpgftogo.org/ </t>
  </si>
  <si>
    <t>Tunisia Innovative Startups and SMEs Project</t>
  </si>
  <si>
    <t>13 June 2019</t>
  </si>
  <si>
    <t>7 year project</t>
  </si>
  <si>
    <t>The World Bank, Government of Tunisia</t>
  </si>
  <si>
    <t>Caisse de Depots et de Consignations</t>
  </si>
  <si>
    <t>Equity investment or incentives, Enabling infrastructure</t>
  </si>
  <si>
    <t>* The project objective is to increase access to finance and support the growth of innovative start-ups and small and medium enterprises.</t>
  </si>
  <si>
    <r>
      <rPr>
        <b/>
        <sz val="10"/>
        <color theme="1"/>
        <rFont val="Arial Nova"/>
        <family val="2"/>
      </rPr>
      <t xml:space="preserve">Equity investment or incentives: </t>
    </r>
    <r>
      <rPr>
        <sz val="10"/>
        <color theme="1"/>
        <rFont val="Arial Nova"/>
        <family val="2"/>
      </rPr>
      <t xml:space="preserve">Equity and quasi-equity financing for innovative startups and SMEs.
</t>
    </r>
    <r>
      <rPr>
        <b/>
        <sz val="10"/>
        <color theme="1"/>
        <rFont val="Arial Nova"/>
        <family val="2"/>
      </rPr>
      <t xml:space="preserve">Capacity building MSMEs: </t>
    </r>
    <r>
      <rPr>
        <sz val="10"/>
        <color theme="1"/>
        <rFont val="Arial Nova"/>
        <family val="2"/>
      </rPr>
      <t>Ecosystem and firm-level support for innovative startups and SMEs; project management and capacity building.</t>
    </r>
  </si>
  <si>
    <t>http://documents1.worldbank.org/curated/en/700041555503096234/pdf/Project-Information-Document-Tunisia-Innovative-Startups-and-SMEs-Project-P167380.pdf</t>
  </si>
  <si>
    <t>Garantie des crédits accordés aux PME</t>
  </si>
  <si>
    <t>June 2003</t>
  </si>
  <si>
    <t>The Tunisian Guarantee Company (Sotugar)</t>
  </si>
  <si>
    <t>Manufacturing, Services</t>
  </si>
  <si>
    <t>* The guarantee system is for loans granted to small and medium sized enterprises operating in the in industrial sector and services linked to industry and participation in their capital.</t>
  </si>
  <si>
    <r>
      <rPr>
        <b/>
        <sz val="10"/>
        <color theme="1"/>
        <rFont val="Arial Nova"/>
        <family val="2"/>
      </rPr>
      <t>Credit guarantee:</t>
    </r>
    <r>
      <rPr>
        <sz val="10"/>
        <color theme="1"/>
        <rFont val="Arial Nova"/>
        <family val="2"/>
      </rPr>
      <t xml:space="preserve">
* Refinancing of half and assumption of cash interest of the other half of a proportion of the outstanding amounts in principal of the loans.
* Guarantees of a return on a proportion of the participations in the capital accepted as collateral in accordance with the distribution of management of irrecoverable amounts of credits and participations between the guarantee system and the intervening institution, during the litiation period.
* Coverage of a proportion ranging from 50-75% of the irrecoverable amounts of loans and participations accepted as guarantees, in accordance with certain criterion.</t>
    </r>
  </si>
  <si>
    <t>Established by article 24 of law no 2002-101 of December 17, 2002</t>
  </si>
  <si>
    <t xml:space="preserve">http://thcom.com.tn/SOTUGAR/garantie-des-credits-accordes-aux-pme/ </t>
  </si>
  <si>
    <t>Fonds de Garantie des Jeunes Créateurs (FGJC)</t>
  </si>
  <si>
    <t>French Development Agency (AFD)</t>
  </si>
  <si>
    <t>* The young creators guarantee fund (FGJC) is intended to guarantee medium and long term loans granted to young first-time creators and business buyers in the manufacturing industries and industry-related services sector.</t>
  </si>
  <si>
    <r>
      <rPr>
        <b/>
        <sz val="10"/>
        <color theme="1"/>
        <rFont val="Arial Nova"/>
        <family val="2"/>
      </rPr>
      <t>Credit guarantee:</t>
    </r>
    <r>
      <rPr>
        <sz val="10"/>
        <color theme="1"/>
        <rFont val="Arial Nova"/>
        <family val="2"/>
      </rPr>
      <t xml:space="preserve">
* Refinancing of half and assumption of cash interest on the other half of the principal unpaid amounts of credits accepted as collateral in accordance with the distribution of support of irrecoverable amounts of credits.
* Support for 75% of irrecoverable amounts of credits; coverage of 50% of the costs of litigation and recovery of credits.</t>
    </r>
  </si>
  <si>
    <t xml:space="preserve">http://thcom.com.tn/SOTUGAR/fonds-de-garantie-des-jeunes-createurs-fgjc/ </t>
  </si>
  <si>
    <t>Strengthening the capacity of Tunisian SMEs</t>
  </si>
  <si>
    <t xml:space="preserve">Tunisian Ministry of Finance, Central Bank of Tunisia, Local banks, Agence Francaise de Developpement </t>
  </si>
  <si>
    <t>* Improve the competitive positioning of companies and their ability to adapt.
* Provide businesses with the means to resist competition, both in the local market and in target markets.
* Contribute to the export effort deployed by companies.
* Enable companies to modernize their means of production, adapt to new technologies and develop their human resources.</t>
  </si>
  <si>
    <r>
      <rPr>
        <b/>
        <sz val="10"/>
        <color theme="1"/>
        <rFont val="Arial Nova"/>
        <family val="2"/>
      </rPr>
      <t>Direct lending:</t>
    </r>
    <r>
      <rPr>
        <sz val="10"/>
        <color theme="1"/>
        <rFont val="Arial Nova"/>
        <family val="2"/>
      </rPr>
      <t xml:space="preserve"> The project has been implemented through a credit line to the governemnt, with the funds then redistributed to local banks to finance the enterprises</t>
    </r>
  </si>
  <si>
    <t>Value of net fixed assets less than 5 MTD</t>
  </si>
  <si>
    <t xml:space="preserve">
http://www.tunisieindustrie.nat.tn/fr/doc.asp?docid=759&amp;mcat=22&amp;mrub=179
https://www.enterprise-development.org/wp-content/uploads/ScalingUp_SME_Access_to_Financial_Services.pdf</t>
  </si>
  <si>
    <t>Pre-Shipment Export Finance Guarantee Facility</t>
  </si>
  <si>
    <t>Pre-Shipment Export Finance Guarantee Unit</t>
  </si>
  <si>
    <t>* The objective of PEFGs is to encourage financial institutions to provide preshipment financing to ESEs with viable export contracts whose perceived nonperformance risk is greater than actual risk.</t>
  </si>
  <si>
    <r>
      <rPr>
        <b/>
        <sz val="10"/>
        <color theme="1"/>
        <rFont val="Arial Nova"/>
        <family val="2"/>
      </rPr>
      <t>Credit guarantee:</t>
    </r>
    <r>
      <rPr>
        <sz val="10"/>
        <color theme="1"/>
        <rFont val="Arial Nova"/>
        <family val="2"/>
      </rPr>
      <t xml:space="preserve"> Eligible sub-loans financed are guaranteed for up to 90% of the outstanding principal, representing non-performance risks of SMEs and emerging exporters, which the participating financial institutions must bear for up to 180 days.</t>
    </r>
  </si>
  <si>
    <t>43 guarantee certificates issued in the first six months</t>
  </si>
  <si>
    <t xml:space="preserve">
http://documents1.worldbank.org/curated/en/852291468108834253/pdf/447540REVISED000Box385328B00PUBLIC0.pdf; https://www.enterprise-development.org/wp-content/uploads/ScalingUp_SME_Access_to_Financial_Services.pdf</t>
  </si>
  <si>
    <t>COVID-19 Crisis Response Support Program (CRSP)</t>
  </si>
  <si>
    <t xml:space="preserve">Government of Uganda </t>
  </si>
  <si>
    <t>Ministry of Finance, Planning and Economic Dvelopment</t>
  </si>
  <si>
    <t>Deferral/restructuring of payments, Direct lending, Enabling infrastructure, MSME procurement</t>
  </si>
  <si>
    <t>Rural livelihoods, Urban livelihoods, Women</t>
  </si>
  <si>
    <t>Agriculture, Financial sector, Health care, Tourism</t>
  </si>
  <si>
    <t xml:space="preserve">NGOs, Other financial institutioins </t>
  </si>
  <si>
    <t>* The objective of the operation is to support Uganda’s efforts to contain COVID-19 human costs,mitigate its social and economic impact, and support economic recovery.</t>
  </si>
  <si>
    <r>
      <rPr>
        <b/>
        <sz val="10"/>
        <color theme="1"/>
        <rFont val="Arial Nova"/>
        <family val="2"/>
      </rPr>
      <t xml:space="preserve">Direct lending: </t>
    </r>
    <r>
      <rPr>
        <sz val="10"/>
        <color theme="1"/>
        <rFont val="Arial Nova"/>
        <family val="2"/>
      </rPr>
      <t>Providing affordable credit through boosting the lending capacity of the state-owned Uganda Development Bank</t>
    </r>
    <r>
      <rPr>
        <b/>
        <sz val="10"/>
        <color theme="1"/>
        <rFont val="Arial Nova"/>
        <family val="2"/>
      </rPr>
      <t xml:space="preserve">
Capacity building financial institutions: </t>
    </r>
    <r>
      <rPr>
        <sz val="10"/>
        <color theme="1"/>
        <rFont val="Arial Nova"/>
        <family val="2"/>
      </rPr>
      <t xml:space="preserve">Issuance of a directive to boosting the lending capacity of the state-owned UDB.
</t>
    </r>
    <r>
      <rPr>
        <b/>
        <sz val="10"/>
        <color theme="1"/>
        <rFont val="Arial Nova"/>
        <family val="2"/>
      </rPr>
      <t>Deferral/restructuring of payments:</t>
    </r>
    <r>
      <rPr>
        <sz val="10"/>
        <color theme="1"/>
        <rFont val="Arial Nova"/>
        <family val="2"/>
      </rPr>
      <t xml:space="preserve">
* Postponed tax payment obligations for the most affected sectorsi.
* Expedited repayment of domestic government arrears to the private sector suppliers
* Cabinet Directive to allow corporations including small and medium sized enterprises (SMEs) to delay payment of corporation tax or presumptive tax for taxes due between April and June 2020 and for tourism, manufacturing, horticulture and floriculture to defer until September 2020.
</t>
    </r>
    <r>
      <rPr>
        <b/>
        <sz val="10"/>
        <color theme="1"/>
        <rFont val="Arial Nova"/>
        <family val="2"/>
      </rPr>
      <t>MSME procurement:</t>
    </r>
    <r>
      <rPr>
        <sz val="10"/>
        <color theme="1"/>
        <rFont val="Arial Nova"/>
        <family val="2"/>
      </rPr>
      <t xml:space="preserve">
* Expedite payment of domestic arrears for goods and services supplied to Government by the private sector.
* Policy to facilitate local production of COVID-19 essential supplies and protective personal equipment by small and medium enterprises (SMEs).</t>
    </r>
  </si>
  <si>
    <t>i) Proportion ofpoor and vulnerable families, including 31% female headed households, that have consumed ongoing food and nutritional support - 75% (2021)
ii) Percentage of Local businesses that access finance (percentage change from year to year), including 30% of women-owned businesses - 12% December 2021
iii) Acute healthcare facilities with capacity for intensive care and isolation based on equipped and operational intensive care units (ICU) - 100 by December 2021</t>
  </si>
  <si>
    <t>https://www.afdb.org/sites/all/libraries/pdf.js/web/viewer.html?file=https%3A%2F%2Fwww.afdb.org%2Fsites%2Fdefault%2Ffiles%2Fdocuments%2Fprojects-and-operations%2Fuganda_-_covid-19_crisis_response_budget_support_program_crsp_-_appraisal_report.pdf#page=1&amp;zoom=auto,-13,842</t>
  </si>
  <si>
    <t>Rural Income and Employment 
Enhancement Project (RIEEP)</t>
  </si>
  <si>
    <t>Ministry of Finance, Planning and Economic
Development (MoFPED)</t>
  </si>
  <si>
    <t>Micro enterprises, Rural livelihoods, Women</t>
  </si>
  <si>
    <t>* The project aimes to build rural financial infrastructure, promote a savings and credit culture among the target rural population and enhance their business management skills through training. Overall, it sought to enhance the livelihood of the rural population, therefore contributing to GoU’s efforts to reduce poverty and meet the MDG targets.</t>
  </si>
  <si>
    <r>
      <rPr>
        <b/>
        <sz val="10"/>
        <color theme="1"/>
        <rFont val="Arial Nova"/>
        <family val="2"/>
      </rPr>
      <t xml:space="preserve">Capacity building MSMEs: </t>
    </r>
    <r>
      <rPr>
        <sz val="10"/>
        <color theme="1"/>
        <rFont val="Arial Nova"/>
        <family val="2"/>
      </rPr>
      <t>Facilitate access to and utilization of affordable financial and business development services.</t>
    </r>
    <r>
      <rPr>
        <b/>
        <sz val="10"/>
        <color theme="1"/>
        <rFont val="Arial Nova"/>
        <family val="2"/>
      </rPr>
      <t xml:space="preserve">
Direct lending: </t>
    </r>
    <r>
      <rPr>
        <sz val="10"/>
        <color theme="1"/>
        <rFont val="Arial Nova"/>
        <family val="2"/>
      </rPr>
      <t>Intermediaries will on-lend credit funds to enterprises in rural areas at a rate of interest that will enable them to recover the cost of capital plus a margin of profit.</t>
    </r>
  </si>
  <si>
    <t>i) i) Create 1.4 millioncemployment opportunities from current rate of 380,000
ii) Growth of loan portfolio from 35% to
75%
iii) The average loan size for the commercial loan product will increase from UGX 52.00 million (UA 15,000) to UGX 330.00 million (UA 95,400) and from UGX 50.00 million (UA 14,546) to UGX 370.00 million (UA 106,975) for the agricultural loan product
iv) Loan disbursements are projected to grow from UGX 25.12 billion (UA 7.2 million) in YR 1 to UGX 68.09 billion (UA 20 million) in YR 3 and UGX 130 billion (UA 38 million) by YR 5
(v) The number of Partner Organisations (POs) and POs clients will reach 2,934 and 1,467,000 respectively by YR 5.</t>
  </si>
  <si>
    <t xml:space="preserve">i) 1.4 million rural clients reached, of which 50% are women; 
ii) 2,934 loans disbursed to financial intermediaries
iii) 3,000 staff (120 of MSC and 2880 from MFIs) and Intermediaries (50%
women) acquired business development skills;
iv) By April 2008 , MSC had disbursed UGX 24.46 billion, (UA 6.9 million) the most significant of which were 417 RMSP loans valued at UGX 21.59 billion (UA 6 million). </t>
  </si>
  <si>
    <t>https://www.afdb.org/fileadmin/uploads/afdb/Documents/Project-and-Operations/Uganda-_Rural_Income_and_Employment_Enhancement_Project_-_Appraisal_Report.pdf</t>
  </si>
  <si>
    <t>Poverty Eradication Action Plan</t>
  </si>
  <si>
    <t>President of the Republic of Uganda</t>
  </si>
  <si>
    <t>Ministry of Finance, Planning and Economic Development</t>
  </si>
  <si>
    <t>Enabling infrastructure, Deferral/restructuring of payments</t>
  </si>
  <si>
    <t>Incentives to financial institutions, Capacity building MSMEs, Credit information system, Incentives to financial institutions</t>
  </si>
  <si>
    <t>Agriculture, Health care Mining, Manufacturing, Services, Tourism, Trade</t>
  </si>
  <si>
    <t>NGOs, MFIs, Commercial banks</t>
  </si>
  <si>
    <t>* Creating a framework for economic growth and transformation.
* Ensuring good governance and security Directly increasing the ability of the poor to raise their incomes.
* Directly increasing the quality of the life of the poor.</t>
  </si>
  <si>
    <r>
      <rPr>
        <b/>
        <sz val="10"/>
        <color theme="1"/>
        <rFont val="Arial Nova"/>
        <family val="2"/>
      </rPr>
      <t xml:space="preserve">Credit information system: </t>
    </r>
    <r>
      <rPr>
        <sz val="10"/>
        <color theme="1"/>
        <rFont val="Arial Nova"/>
        <family val="2"/>
      </rPr>
      <t xml:space="preserve">The setting up of a Credit Reference Bureau through which information about borrowers will be made available to financial institutions, in order to reduce the risk of creating non-performing loans.
</t>
    </r>
    <r>
      <rPr>
        <b/>
        <sz val="10"/>
        <color theme="1"/>
        <rFont val="Arial Nova"/>
        <family val="2"/>
      </rPr>
      <t>Incentives to financial institutions:</t>
    </r>
    <r>
      <rPr>
        <sz val="10"/>
        <color theme="1"/>
        <rFont val="Arial Nova"/>
        <family val="2"/>
      </rPr>
      <t xml:space="preserve">
* Boost credit extension to the private sector to support economic growth.
* Better access to agricultural credit for smallholders, as well as promoting the expansion to rural areas of microfinance services through the Microfinance Outreach Plan.
* Government will provide capacity building and matching grants that will provide incentives for service delivery in rural areas.
</t>
    </r>
    <r>
      <rPr>
        <b/>
        <sz val="10"/>
        <color theme="1"/>
        <rFont val="Arial Nova"/>
        <family val="2"/>
      </rPr>
      <t xml:space="preserve">Capacity building MSMEs: </t>
    </r>
    <r>
      <rPr>
        <sz val="10"/>
        <color theme="1"/>
        <rFont val="Arial Nova"/>
        <family val="2"/>
      </rPr>
      <t xml:space="preserve">Provide entrepreneurial skills and business development services in partnership with the private sector.
</t>
    </r>
    <r>
      <rPr>
        <b/>
        <sz val="10"/>
        <color theme="1"/>
        <rFont val="Arial Nova"/>
        <family val="2"/>
      </rPr>
      <t xml:space="preserve">Deferral/restructuring of payments:
</t>
    </r>
    <r>
      <rPr>
        <sz val="10"/>
        <color theme="1"/>
        <rFont val="Arial Nova"/>
        <family val="2"/>
      </rPr>
      <t xml:space="preserve">* Local governments to streamline local taxation in a manner that encourages growth of MSMEs by reviewing the rates and levels of taxes levied on existing SMEs, even offering tax holidays for start-up businesses. Other measures include taxing only businesses above a certain threshold of annual income.
</t>
    </r>
    <r>
      <rPr>
        <b/>
        <sz val="10"/>
        <color theme="1"/>
        <rFont val="Arial Nova"/>
        <family val="2"/>
      </rPr>
      <t xml:space="preserve">Incentives to financial institutions: </t>
    </r>
    <r>
      <rPr>
        <sz val="10"/>
        <color theme="1"/>
        <rFont val="Arial Nova"/>
        <family val="2"/>
      </rPr>
      <t>Encourage rural outreach by the formal banks.</t>
    </r>
  </si>
  <si>
    <t>https://www.imf.org/external/NP/prsp/2000/Uga/01/#:~:text=Uganda's%20Poverty%20Eradication%20Action%20Plan%20(PEAP)%20is%20established%20on%20four,for%20economic%20growth%20and%20transformation&amp;text=Directly%20increasing%20the%20ability%20of,the%20life%20of%20the%20poor.</t>
  </si>
  <si>
    <t>National Financial
Inclusion Strategy</t>
  </si>
  <si>
    <t>Bank of Uganda, Ministry of Finance, Planning and Economic Development</t>
  </si>
  <si>
    <t>Capacity building financial institution, Collateral registry, Payment system infrastructure, Regulatory environment</t>
  </si>
  <si>
    <t xml:space="preserve">Micro enterprises, Women, Youth, Rural livelihoods </t>
  </si>
  <si>
    <t xml:space="preserve">* Increasing sustainable production, productivity and value addition in key growth opportunities.
* Increasing the stock and quality of strategic infrastructure to accelerate the country’s competitiveness.
* Enhancing human capital development.
* Strengthening mechanisms for quality, effective and efficient service delivery. </t>
  </si>
  <si>
    <r>
      <rPr>
        <b/>
        <sz val="10"/>
        <color theme="1"/>
        <rFont val="Arial Nova"/>
        <family val="2"/>
      </rPr>
      <t>Capacity building financial institutions:</t>
    </r>
    <r>
      <rPr>
        <sz val="10"/>
        <color theme="1"/>
        <rFont val="Arial Nova"/>
        <family val="2"/>
      </rPr>
      <t xml:space="preserve">
* Expand access to finance for consumers, micro, small and medium enterprises (MSMEs) and agriculture.
* Establish lines of credit to critical sectors such as Housing, MSME, and Agriculture with the aim of growing the credit market.
* Strengthen the capacity and systems of SACCOs and MFIs to help women, rural communities and others access and use affordable financial services.
</t>
    </r>
    <r>
      <rPr>
        <b/>
        <sz val="10"/>
        <color theme="1"/>
        <rFont val="Arial Nova"/>
        <family val="2"/>
      </rPr>
      <t xml:space="preserve">MSME procurement: </t>
    </r>
    <r>
      <rPr>
        <sz val="10"/>
        <color theme="1"/>
        <rFont val="Arial Nova"/>
        <family val="2"/>
      </rPr>
      <t xml:space="preserve">Provide incentives and specific goals for increased procurement by government of goods and services from women-owned enterprises (specifically women-owned MSMEs), as well as assist women in business to secure markets for their products.
</t>
    </r>
    <r>
      <rPr>
        <b/>
        <sz val="10"/>
        <color theme="1"/>
        <rFont val="Arial Nova"/>
        <family val="2"/>
      </rPr>
      <t xml:space="preserve">Collateral registry: </t>
    </r>
    <r>
      <rPr>
        <sz val="10"/>
        <color theme="1"/>
        <rFont val="Arial Nova"/>
        <family val="2"/>
      </rPr>
      <t xml:space="preserve">Establish a centralised registry for movable collateral to allow it to be used as security for loans
</t>
    </r>
    <r>
      <rPr>
        <b/>
        <sz val="10"/>
        <color theme="1"/>
        <rFont val="Arial Nova"/>
        <family val="2"/>
      </rPr>
      <t xml:space="preserve">Payment system infrastructure:
</t>
    </r>
    <r>
      <rPr>
        <sz val="10"/>
        <color theme="1"/>
        <rFont val="Arial Nova"/>
        <family val="2"/>
      </rPr>
      <t xml:space="preserve">* Building digital payments and business infrastructure to improve proximity and bring harder-to-reach clients into the financial system at lower costs through innovations such as agent banking, mobile money and/ or electronic government-to-person payments.
* Implement an agent banking infrastructure to bring more finance to rural areas.
* Pass the National Payment System Bill to update the payment system environment.
</t>
    </r>
    <r>
      <rPr>
        <b/>
        <sz val="10"/>
        <color theme="1"/>
        <rFont val="Arial Nova"/>
        <family val="2"/>
      </rPr>
      <t>Regulatory environment:</t>
    </r>
    <r>
      <rPr>
        <sz val="10"/>
        <color theme="1"/>
        <rFont val="Arial Nova"/>
        <family val="2"/>
      </rPr>
      <t xml:space="preserve">
* Finalise the National Risk Assessment for AML/CFT and implement tiered KYC requirements, for greater flexibility.
* National Identification and Registration Authority, in collaboration with the
National Information Technology Authority, will develop a system to verify IDs and allow financial service providers to verify IDs through it.
* Introduce a legal/regulatory exemption amendment that allows youth (ages 15-17) to open savings accounts in their own right. 
* Implement an ombudsman with binding powers to resolve disputes for smaller loans and which provides impartial advice.</t>
    </r>
  </si>
  <si>
    <t>i) Grow usage of formal financial institutions (banks, non-banks including mobile money) from 54% to 80% by 2022
ii) Increase access points per 100,000 adults from 548 to 615 by 2022
iii) Increase credit bureaus coverage from 6% to 40% of adults by 2022
iv) Grow active fromal savings from 25% to 50% through greater transparency, competition ans use of technology.
v) Increase percent of adults with emergency savings from 41% to 60% by 2022
vi) Increase insurance usage from 2% to 7%</t>
  </si>
  <si>
    <t>Financial Institutions Act, 2004</t>
  </si>
  <si>
    <t>https://www.bou.or.ug/bou/bouwebsite/bouwebsitecontent/publications/special_pubs/2017/National-Financial-Inclusion-Strategy.pdf</t>
  </si>
  <si>
    <t>National Strategy
for Private Sector Development</t>
  </si>
  <si>
    <t xml:space="preserve">Government of Uganda, Ministry of Finance, Planning and Economic Development
</t>
  </si>
  <si>
    <t>Capacity building financial institutions, Capacity building MSMEs, Incentives to financial institutions, Other, Regulatory environment, Stock market development</t>
  </si>
  <si>
    <t xml:space="preserve">Agriculture, Construction, Financial sector, Mining, Manufacturing, Trade, Service </t>
  </si>
  <si>
    <t>* Enhance coordination of Government and Non-Government efforts that promote private sector growth and competitiveness. By specifying the roles of Government and Non-Government actors in creating synergies that enhance the contribution of the private sector to Uganda’s economic development and transformation.
* Identify and address barriers that impede the Private Sector’s capacity to exploit market opportunities.
* Foster competitiveness of the Ugandan markets and attract increased domestic investment and FDI.
* Harness the Private Sector’s potential to foster socioeconomic transformation, particularly through increased entrepreneurship, innovation, productivity, employment creation, and value addition and skills development.</t>
  </si>
  <si>
    <r>
      <rPr>
        <b/>
        <sz val="10"/>
        <color theme="1"/>
        <rFont val="Arial Nova"/>
        <family val="2"/>
      </rPr>
      <t>Capacity building MSMEs:</t>
    </r>
    <r>
      <rPr>
        <sz val="10"/>
        <color theme="1"/>
        <rFont val="Arial Nova"/>
        <family val="2"/>
      </rPr>
      <t xml:space="preserve">
* Improving the quality of vocational training, education, entrepreneurship in both school and vocational training institutions.
* Providing Business Development Services (BDS) and support BDS providers, with special emphasis on entrepreneurship training, business advisory and counselling service, information access, business planning, marketing, technology access, business linkages and other services to assist both start-ups and existing businesses.
</t>
    </r>
    <r>
      <rPr>
        <b/>
        <sz val="10"/>
        <color theme="1"/>
        <rFont val="Arial Nova"/>
        <family val="2"/>
      </rPr>
      <t xml:space="preserve">Capacity building financial institutions:
</t>
    </r>
    <r>
      <rPr>
        <sz val="10"/>
        <color theme="1"/>
        <rFont val="Arial Nova"/>
        <family val="2"/>
      </rPr>
      <t xml:space="preserve">* Building capacity of entrepreneurship trainers through business development services and skills development. 
* Provide long term finance through Uganda Development Bank Limited. 
</t>
    </r>
    <r>
      <rPr>
        <b/>
        <sz val="10"/>
        <color theme="1"/>
        <rFont val="Arial Nova"/>
        <family val="2"/>
      </rPr>
      <t xml:space="preserve">Incentives to financial institutions: </t>
    </r>
    <r>
      <rPr>
        <sz val="10"/>
        <color theme="1"/>
        <rFont val="Arial Nova"/>
        <family val="2"/>
      </rPr>
      <t xml:space="preserve">Foster Government’s efforts towards improving the business environment; priority sectors for investment shall be linked to their potential to create linkages with local SMEs, with particular emphasis on agro processing sector.
</t>
    </r>
    <r>
      <rPr>
        <b/>
        <sz val="10"/>
        <color theme="1"/>
        <rFont val="Arial Nova"/>
        <family val="2"/>
      </rPr>
      <t xml:space="preserve">Other: </t>
    </r>
    <r>
      <rPr>
        <sz val="10"/>
        <color theme="1"/>
        <rFont val="Arial Nova"/>
        <family val="2"/>
      </rPr>
      <t xml:space="preserve">Creating alternative forms of financing by promoting and formalizing investment clubs as a source of raising domestic capital for investment and essentially increasing personal savings.
</t>
    </r>
    <r>
      <rPr>
        <b/>
        <sz val="10"/>
        <color theme="1"/>
        <rFont val="Arial Nova"/>
        <family val="2"/>
      </rPr>
      <t>Regulatory environment:</t>
    </r>
    <r>
      <rPr>
        <sz val="10"/>
        <color theme="1"/>
        <rFont val="Arial Nova"/>
        <family val="2"/>
      </rPr>
      <t xml:space="preserve">
* Business Licensing and Regulatory Reforms. This includes fast tracking construction approvals; removing inefficient, unnecessary, unfriendly and cumbersome licensing, improving business registration, land administration and tax administration.
* Make the laws and other provisions simpler, more accessible, modern, fairer and cost-effective for the private sector. In regard to commercial laws, the reform has resulted in the enactment of Companies Act 2012, Partnership Act 2010, and the Insolvency Act 2011.
* Full implementation of a One Stop Centre both physical and online at UIA to facilitate formalization and registration of businesses
</t>
    </r>
    <r>
      <rPr>
        <b/>
        <sz val="10"/>
        <color theme="1"/>
        <rFont val="Arial Nova"/>
        <family val="2"/>
      </rPr>
      <t xml:space="preserve">Stock market development: </t>
    </r>
    <r>
      <rPr>
        <sz val="10"/>
        <color theme="1"/>
        <rFont val="Arial Nova"/>
        <family val="2"/>
      </rPr>
      <t>Improving the stock market environment as a potential avenue to mobilize resources and channel them into productive sectors.</t>
    </r>
  </si>
  <si>
    <t>i) Labour productivity GDP/worker($) in agriculture from 5,106 to 7,872 (24,820 - 2040)
ii) Labour productivity GDP/worker($) in industry from 2,441 to 5,218 (25,513 - 2040)
iii) Labour productivity GDP/worker($) in Services from 14% to 30% (80% - 2040)</t>
  </si>
  <si>
    <t>https://www.finance.go.ug/sites/default/files/Publications/NSPSD%20BOOK%20WEB_0.pdf</t>
  </si>
  <si>
    <t>National Industrial Policy</t>
  </si>
  <si>
    <t>Ministry of Tourism, Trade &amp; Industry</t>
  </si>
  <si>
    <t>Agriculture, Construction, Health care, Manufacturing, Service, Trade</t>
  </si>
  <si>
    <t xml:space="preserve">*Exploiting and developing natural domestic resource- based industries such as petroleum, cement, and fertilizer industries; and promoting competitive industries that use local raw materials.
* Agro-processing; focusing on food processing, leather and leather products, textiles and garments, sugar, dairy products, and value addition in niche exports.
* Knowledge-based industries such as: ICT, call centres, and pharmaceuticals that exploit knowledge in science, technology and innovation. 
* Engineering for capital goods, agricultural implements, construction materials, and fabrication/Jua Kali operations. </t>
  </si>
  <si>
    <r>
      <rPr>
        <b/>
        <sz val="10"/>
        <color theme="1"/>
        <rFont val="Arial Nova"/>
        <family val="2"/>
      </rPr>
      <t>Capacity building financial institutions:</t>
    </r>
    <r>
      <rPr>
        <sz val="10"/>
        <color theme="1"/>
        <rFont val="Arial Nova"/>
        <family val="2"/>
      </rPr>
      <t xml:space="preserve"> Strengthen the Uganda Development Bank through, inter alia, training and capitalization with a view to providing improved access to competitively priced development and long term credit and equity capital for industry at low interest rates.
</t>
    </r>
    <r>
      <rPr>
        <b/>
        <sz val="10"/>
        <color theme="1"/>
        <rFont val="Arial Nova"/>
        <family val="2"/>
      </rPr>
      <t>Capacity building MSMEs:</t>
    </r>
    <r>
      <rPr>
        <sz val="10"/>
        <color theme="1"/>
        <rFont val="Arial Nova"/>
        <family val="2"/>
      </rPr>
      <t xml:space="preserve"> Establish and or strengthen entrepreneurship development institutes, with a view to nurturing business culture, mentoring, and innovation.</t>
    </r>
  </si>
  <si>
    <t xml:space="preserve">Target indicators for achieving the vision and objectives will include:
(i) 25% - contribution of manufactured products to total GDP
(ii) 30% - contribution of manufactured exports to total exports
(iii) 30% - Value added in Industry (as a percentage of GDP)
(iv) 4.2 score - Competitiveness Index </t>
  </si>
  <si>
    <t>https://www.tralac.org/files/2012/12/Uganda_National-Industrial-Policy.pdf</t>
  </si>
  <si>
    <t>Micro, Small and Medium Enterprises
(MSME) sector Policy</t>
  </si>
  <si>
    <t>Ministry of Trade, Industry and Cooperatives (MTIC)</t>
  </si>
  <si>
    <t xml:space="preserve">Enabling infrastructure, Trade/supply chain finance </t>
  </si>
  <si>
    <t>Micro enterprises, Start-ups, People with disabilities, Women, Youth</t>
  </si>
  <si>
    <t xml:space="preserve">Agriculture, Financial sector, Health care, Manufacturing, Services </t>
  </si>
  <si>
    <t>The specific policy objectives of in this regard are the following;
* To provide enabling environment through policy, legal and institutional coordination framework.
* To promote research, product/process development, innovation, value addition and appropriate technologies including ICT.
* To promote product and service standards for quality assurance.
* To support access to markets and business information services.
* To increase access to credit and financial services. 
* To enhance capacity building entrepreneurship, vocational, business and Industrial development skills.
* To enhance gender equity, inclusiveness and environmentally friendly businesses for sustainable development.</t>
  </si>
  <si>
    <r>
      <rPr>
        <b/>
        <sz val="10"/>
        <color theme="1"/>
        <rFont val="Arial Nova"/>
        <family val="2"/>
      </rPr>
      <t xml:space="preserve">Trade/supply-chain finance: </t>
    </r>
    <r>
      <rPr>
        <sz val="10"/>
        <color theme="1"/>
        <rFont val="Arial Nova"/>
        <family val="2"/>
      </rPr>
      <t xml:space="preserve">Promote and strengthen linkages between MSMEs and financial institutions for extending flexible credit facilities such as hire purchase, asset/inventory financing, leasing and strengthen SACCO‟s credit schemes.
</t>
    </r>
    <r>
      <rPr>
        <b/>
        <sz val="10"/>
        <color theme="1"/>
        <rFont val="Arial Nova"/>
        <family val="2"/>
      </rPr>
      <t>Capacity building MSMEs:</t>
    </r>
    <r>
      <rPr>
        <sz val="10"/>
        <color theme="1"/>
        <rFont val="Arial Nova"/>
        <family val="2"/>
      </rPr>
      <t xml:space="preserve">
* Promote financial literacy training to entrepreneurs and encourage responsive borrowing and lending. 
* Strengthen and expand entrepreneurship and small business management
programs and their outreach, especially to the women, youth and People with disabilities (PWDs).
</t>
    </r>
    <r>
      <rPr>
        <b/>
        <sz val="10"/>
        <color theme="1"/>
        <rFont val="Arial Nova"/>
        <family val="2"/>
      </rPr>
      <t>Other:</t>
    </r>
    <r>
      <rPr>
        <sz val="10"/>
        <color theme="1"/>
        <rFont val="Arial Nova"/>
        <family val="2"/>
      </rPr>
      <t xml:space="preserve">
* Promote development of sustainable sourcing Partnership and business linkages between MSMEs and larger firms.
* Promote Clustering initiatives, networking and business linkage approach amongst MSMEs and bigger firms to maximise intra-industry synergies and economies of scale
* Support investment and adaptation of technologies that respond to economic change for Women Entrepreneurs (WE‟s), Youth and PWDs.
* Establish a national Business and Information Technology registry data bank with a website and directory for MSMEs.
</t>
    </r>
    <r>
      <rPr>
        <b/>
        <sz val="10"/>
        <color theme="1"/>
        <rFont val="Arial Nova"/>
        <family val="2"/>
      </rPr>
      <t>Regulatory environment:</t>
    </r>
    <r>
      <rPr>
        <sz val="10"/>
        <color theme="1"/>
        <rFont val="Arial Nova"/>
        <family val="2"/>
      </rPr>
      <t xml:space="preserve">
* Implement a simplified standardised business registration process including simplified and consolidated application forms; and implementation of unified business registration procedures for all government levels.
* Identify, protect, evaluate and exploit Intellectual Property assets as business tool and sensitize MSMEs on Intellectual Property Rights. 
* Publication and dissemination of all effective business licenses/regulations.
* Strengthen the URSB as a „Single Window‟ for all requirements, including payments of fees, for business registration and other compliance requirements.</t>
    </r>
  </si>
  <si>
    <t xml:space="preserve">Numerical target specified </t>
  </si>
  <si>
    <t>Micro: Employs no more than 5 and have a total assets not exceeding UGX: 10million.
Small: Employs between 5 and 49 and have total assets between UGX: 10 million but not exceeding 100 million. Medium: Employs between 50 and 100 with total assets more than 100 million but not exceeding 360 million</t>
  </si>
  <si>
    <t>https://www.ugandainvest.go.ug/wp-content/uploads/2016/02/Final-MSME-Policy-July-2015.pdf</t>
  </si>
  <si>
    <t>Second
National Development Plan (NDPII)</t>
  </si>
  <si>
    <t xml:space="preserve">President of the Republic of Uganda </t>
  </si>
  <si>
    <t>Ministry of Finance Planning and
Economic Development</t>
  </si>
  <si>
    <t>Enabling infrastructure, Equity investment or incentives</t>
  </si>
  <si>
    <t>Credit information system, Incentives to financial institutions, Collateral registry, Regulatory environment</t>
  </si>
  <si>
    <t>Agriculture, Energy, Tourism, Manufacturing, Mining, Health care</t>
  </si>
  <si>
    <t xml:space="preserve">State-owned bank, Other financial institutions </t>
  </si>
  <si>
    <t>This plan has four objectives, namely:
* Increase sustainable production, productivity and value addition in key growth opportunities.
* Increase the stock and quality of strategic infrastructure to accelerate the country’s
Competitiveness.
* Enhance human capital development.
* Strengthen mechanisms for quality, effective and efficient service delivery.</t>
  </si>
  <si>
    <r>
      <rPr>
        <b/>
        <sz val="10"/>
        <color theme="1"/>
        <rFont val="Arial Nova"/>
        <family val="2"/>
      </rPr>
      <t>Credit information system:</t>
    </r>
    <r>
      <rPr>
        <sz val="10"/>
        <color theme="1"/>
        <rFont val="Arial Nova"/>
        <family val="2"/>
      </rPr>
      <t xml:space="preserve"> Strengthen the Credit Reference Bureau (CRB) system </t>
    </r>
    <r>
      <rPr>
        <b/>
        <sz val="10"/>
        <color theme="1"/>
        <rFont val="Arial Nova"/>
        <family val="2"/>
      </rPr>
      <t xml:space="preserve">
Collateral registry:
</t>
    </r>
    <r>
      <rPr>
        <sz val="10"/>
        <color theme="1"/>
        <rFont val="Arial Nova"/>
        <family val="2"/>
      </rPr>
      <t xml:space="preserve">* Develop a collateral registry to reduce default rates and increase the pool of new borrowers.
</t>
    </r>
    <r>
      <rPr>
        <b/>
        <sz val="10"/>
        <color theme="1"/>
        <rFont val="Arial Nova"/>
        <family val="2"/>
      </rPr>
      <t xml:space="preserve">Incentives to financial institutions: </t>
    </r>
    <r>
      <rPr>
        <sz val="10"/>
        <color theme="1"/>
        <rFont val="Arial Nova"/>
        <family val="2"/>
      </rPr>
      <t xml:space="preserve">Diversify and promote financial products and services that are tailored to the needs of population.
</t>
    </r>
    <r>
      <rPr>
        <b/>
        <sz val="10"/>
        <color theme="1"/>
        <rFont val="Arial Nova"/>
        <family val="2"/>
      </rPr>
      <t xml:space="preserve">Equity investment or incentives: </t>
    </r>
    <r>
      <rPr>
        <sz val="10"/>
        <color theme="1"/>
        <rFont val="Arial Nova"/>
        <family val="2"/>
      </rPr>
      <t xml:space="preserve">Fund of Funds for Private Sector Financing - The Fund of Funds enables the government to have a stable and unified source of venture investment which can be targeted to priority sectors expected to grow at a high rate, generate employment and ensure inclusive growth. The proposal to establish a Uganda Fund of Funds borrows heavily from the Korea experience of establishing fund of funds.
</t>
    </r>
    <r>
      <rPr>
        <b/>
        <sz val="10"/>
        <color theme="1"/>
        <rFont val="Arial Nova"/>
        <family val="2"/>
      </rPr>
      <t>Regulatory environment:</t>
    </r>
    <r>
      <rPr>
        <sz val="10"/>
        <color theme="1"/>
        <rFont val="Arial Nova"/>
        <family val="2"/>
      </rPr>
      <t xml:space="preserve">
* Fast track the establishment of online registration (e-registry) of business licenses 
* Implement the bankruptcy reform legislation to boost commercial banks’ willingness to lower their lending rates and improve loan recovery.</t>
    </r>
  </si>
  <si>
    <t>SDG 1, 2, 3, 4, 5, 7, 8, 10, 11, 13, 17</t>
  </si>
  <si>
    <t>http://npa.go.ug/wp-content/uploads/NDPII-Final.pdf</t>
  </si>
  <si>
    <t>The Micro, Small and Medium Enterprise Development Policy</t>
  </si>
  <si>
    <t>Ministry of Commerce, Trade and Industry</t>
  </si>
  <si>
    <t>Capacity building financial institutions, Credit information system, Stock market development</t>
  </si>
  <si>
    <t xml:space="preserve">* The rationale for this Policy is to create a national vision and leadership for deliberate development of the MSME sector and to facilitate creation and implementation of relevant and effective sector legislation and regulatory framework. The Policy further aims to define the sector, its actors, their roles, and responsibilities and to ensure coordination and synergy in the implementation of MSME support activities. </t>
  </si>
  <si>
    <r>
      <rPr>
        <b/>
        <sz val="10"/>
        <color theme="1"/>
        <rFont val="Arial Nova"/>
        <family val="2"/>
      </rPr>
      <t>Capacity building financial institutions:
*</t>
    </r>
    <r>
      <rPr>
        <sz val="10"/>
        <color theme="1"/>
        <rFont val="Arial Nova"/>
        <family val="2"/>
      </rPr>
      <t xml:space="preserve"> Through relevant government agencies, engage financial institutions into developing suitable business financing products for MSMEs. These should include equity, leasing, hire purchase, trade finance, and investment financing.
* Strengthen the capacity of development banks to provide growth-oriented financing solutions to MSMEs.
* Provide incentives to Financial Institutions in order to encourage lending to MSMEs.
</t>
    </r>
    <r>
      <rPr>
        <b/>
        <sz val="10"/>
        <color theme="1"/>
        <rFont val="Arial Nova"/>
        <family val="2"/>
      </rPr>
      <t xml:space="preserve">Credit information system: </t>
    </r>
    <r>
      <rPr>
        <sz val="10"/>
        <color theme="1"/>
        <rFont val="Arial Nova"/>
        <family val="2"/>
      </rPr>
      <t xml:space="preserve">In collaboration with the Credit Reference Bureau, provide referral to confirm credit worthiness of specific MSMEs.
</t>
    </r>
    <r>
      <rPr>
        <b/>
        <sz val="10"/>
        <color theme="1"/>
        <rFont val="Arial Nova"/>
        <family val="2"/>
      </rPr>
      <t xml:space="preserve">Credit guarantee: </t>
    </r>
    <r>
      <rPr>
        <sz val="10"/>
        <color theme="1"/>
        <rFont val="Arial Nova"/>
        <family val="2"/>
      </rPr>
      <t xml:space="preserve">Establish Credit Guarantee Schemes to improve access and minimise collateral constraints among MSMEs.
</t>
    </r>
    <r>
      <rPr>
        <b/>
        <sz val="10"/>
        <color theme="1"/>
        <rFont val="Arial Nova"/>
        <family val="2"/>
      </rPr>
      <t xml:space="preserve">Direct lending: </t>
    </r>
    <r>
      <rPr>
        <sz val="10"/>
        <color theme="1"/>
        <rFont val="Arial Nova"/>
        <family val="2"/>
      </rPr>
      <t xml:space="preserve">Establish part of the CEE Development Fund as a graduated financing vehicle for developing the MSME Sector with a view to transform it into an economic stronghold.
</t>
    </r>
    <r>
      <rPr>
        <b/>
        <sz val="10"/>
        <color theme="1"/>
        <rFont val="Arial Nova"/>
        <family val="2"/>
      </rPr>
      <t xml:space="preserve">Stock market development: </t>
    </r>
    <r>
      <rPr>
        <sz val="10"/>
        <color theme="1"/>
        <rFont val="Arial Nova"/>
        <family val="2"/>
      </rPr>
      <t>In collaboration with the Lusaka Stock Exchange, operationalise the secondary market for MSMEs on the Stock Exchange to create alternative sources of business financing.</t>
    </r>
  </si>
  <si>
    <t xml:space="preserve">*The goal of the Micro, Small, and Medium Enterprise Policy is to create a vibrant, dynamic sector that contributes 20% of Gross Domestic Product and 30% annually to creation of decent employment by the year 2015. 
 *To facilitate an increase of 10% towards utilisation and value addition of local raw
materials in identified regional areas by the year 2018.
*To strengthening forward linkages between MSMEs and large scale companies by
facilitating an annual increase of 10% in subcontracting of MSME by large scale
ompanies.
* To improve productivity in the MSME sector by 10% by the year 2018.
*To enhance Local Economic Development thereby stimulating broad based economic
 growth by establishing five (5) Business Incubators and five (5) Industrial Parks in
 identified locations by the year 2018. </t>
  </si>
  <si>
    <t xml:space="preserve">Micro: 
i) Total investment, excluding land and buildings up to K80, 000,000.
ii) Annual turnover up to K150,000,000.
iii) Up to ten 10 employees
Small:
i) Total investment, excluding land and building between  K80,000,000 – K200, 000,000 in plant and machinery
ii) Annual turnover between K151,000- K300,000,000 
iii) Between 11- 50) employees
Medium:
i) Total investment, excluding land and building;
between K201, 000,000 – K500, 000, 000 
 - In the case of trading and service providing between K151, 000,000 – K300,000,000
(ii) Annual turnover between K300,000 ,000 - K800,000,00 
(iii) 51 -100 employees </t>
  </si>
  <si>
    <t>https://www.ilo.org/dyn/youthpol/fr/equest.fileutils.docHandle?p_uploaded_file_id=99</t>
  </si>
  <si>
    <t>National Financial Inclusion Strategy</t>
  </si>
  <si>
    <t>Citizens Economic Empowerment Commission, Development Bank of Zambia, Lusaka Stock Exchange, Ministry of Finance, Ministry of Agriculture, National Savings Bank, Patents and Companies Registration Agency, Zambia Development Agency</t>
  </si>
  <si>
    <t>Capacity building MSMEs, Constraint/landscape assessment, Collateral registry, Regulatory environment</t>
  </si>
  <si>
    <t>* Improve knowledge of governance of rural SMEs and their cash flow management.
* Build capacity of financial service providers to lend to SMEs and to farmers.
* Improve government-supported SME and agricultural finance schemes.
* Support growth in financing agriculture value chains.
* Develop financing instruments that meet SME/ agricultural needs and improve credit reporting systems.</t>
  </si>
  <si>
    <r>
      <t xml:space="preserve">
</t>
    </r>
    <r>
      <rPr>
        <b/>
        <sz val="10"/>
        <color theme="1"/>
        <rFont val="Arial Nova"/>
        <family val="2"/>
      </rPr>
      <t xml:space="preserve">Credit guarantee: </t>
    </r>
    <r>
      <rPr>
        <sz val="10"/>
        <color theme="1"/>
        <rFont val="Arial Nova"/>
        <family val="2"/>
      </rPr>
      <t xml:space="preserve">Review effectiveness and impact of existing SME and agricultural support schemes/interventions to make transformative changes in targeting, sustainability, recovery and impact, including exploring partial guarantee schemes.
</t>
    </r>
    <r>
      <rPr>
        <b/>
        <sz val="10"/>
        <color theme="1"/>
        <rFont val="Arial Nova"/>
        <family val="2"/>
      </rPr>
      <t xml:space="preserve">Direct lending: </t>
    </r>
    <r>
      <rPr>
        <sz val="10"/>
        <color theme="1"/>
        <rFont val="Arial Nova"/>
        <family val="2"/>
      </rPr>
      <t xml:space="preserve">Review and strengthen mandates of existing state-owned financial institutions in rural and agricultural finance, undertake assessment to consider feasibility and potential contribution of new entity with agricultural mandate.
</t>
    </r>
    <r>
      <rPr>
        <b/>
        <sz val="10"/>
        <color theme="1"/>
        <rFont val="Arial Nova"/>
        <family val="2"/>
      </rPr>
      <t>Regulatory environment:</t>
    </r>
    <r>
      <rPr>
        <sz val="10"/>
        <color theme="1"/>
        <rFont val="Arial Nova"/>
        <family val="2"/>
      </rPr>
      <t xml:space="preserve"> Review and finalise Credit Reporting Bill.
</t>
    </r>
    <r>
      <rPr>
        <b/>
        <sz val="10"/>
        <color theme="1"/>
        <rFont val="Arial Nova"/>
        <family val="2"/>
      </rPr>
      <t>Collateral registry</t>
    </r>
    <r>
      <rPr>
        <sz val="10"/>
        <color theme="1"/>
        <rFont val="Arial Nova"/>
        <family val="2"/>
      </rPr>
      <t xml:space="preserve">: Implement online movable collateral registry.
</t>
    </r>
    <r>
      <rPr>
        <b/>
        <sz val="10"/>
        <color theme="1"/>
        <rFont val="Arial Nova"/>
        <family val="2"/>
      </rPr>
      <t>Capacity building financial institutions:
*</t>
    </r>
    <r>
      <rPr>
        <sz val="10"/>
        <color theme="1"/>
        <rFont val="Arial Nova"/>
        <family val="2"/>
      </rPr>
      <t xml:space="preserve"> Train lenders in "down scaling" SME lending, valuation and registration of movable assets; Improve SME finance practices through non-credit offerings and evaluate programs such as Live Labs for potential scale-up.
* Build capacity for FSPs to design and offer agriculture finance products; promote warehouse receipt financing
</t>
    </r>
    <r>
      <rPr>
        <b/>
        <sz val="10"/>
        <color theme="1"/>
        <rFont val="Arial Nova"/>
        <family val="2"/>
      </rPr>
      <t>Constraint/lanscape assessment:</t>
    </r>
    <r>
      <rPr>
        <sz val="10"/>
        <color theme="1"/>
        <rFont val="Arial Nova"/>
        <family val="2"/>
      </rPr>
      <t xml:space="preserve"> Undertake assessment to determine existing constraints and potential reforms and actions (including related to factoring and leasing).</t>
    </r>
  </si>
  <si>
    <t>% of SMEs with a loan or line of credit, target for 2022: 20, data source: Entrprise Survey
% of SMEs reporting "access to finance" as a major obstacle, target for 2022: 20, data source: Enterprise Survey</t>
  </si>
  <si>
    <t>https://www.boz.zm/National-Financial-Inclusion-Strategy-2017-2022.pdf</t>
  </si>
  <si>
    <t>Zambia Credit Guarantee Scheme Limited</t>
  </si>
  <si>
    <t>* To promote growth and competitiveness of SMEs by providing a platform for financial institutions to offer affordable financial products and services at reduced risk, thereby growing Zambia</t>
  </si>
  <si>
    <r>
      <rPr>
        <b/>
        <sz val="10"/>
        <color theme="1"/>
        <rFont val="Arial Nova"/>
        <family val="2"/>
      </rPr>
      <t xml:space="preserve">Credit guarantee: 
* </t>
    </r>
    <r>
      <rPr>
        <sz val="10"/>
        <color theme="1"/>
        <rFont val="Arial Nova"/>
        <family val="2"/>
      </rPr>
      <t xml:space="preserve">Acting on banks’ recommendations and loan applicants meeting the criteria the credit scheme will then move in to pay the 50% partial guarantee to cover the lenders’ risk,
</t>
    </r>
    <r>
      <rPr>
        <b/>
        <sz val="10"/>
        <color theme="1"/>
        <rFont val="Arial Nova"/>
        <family val="2"/>
      </rPr>
      <t>Capacity building MSMEs</t>
    </r>
    <r>
      <rPr>
        <sz val="10"/>
        <color theme="1"/>
        <rFont val="Arial Nova"/>
        <family val="2"/>
      </rPr>
      <t>: The business coach will mentor the SMEs on risk management, record keeping and financial management. The business coach is mandated to look into the interests of the bank and so far ZCGS has shortlisted about five experienced institutions to provide these services.</t>
    </r>
  </si>
  <si>
    <t>http://www.daily-mail.co.zm/credit-scheme-launches-business-coach/; https://www.linkedin.com/company/zambia-credit-guarantee-scheme-limited/about/; http://www.zcgs.co.zm/</t>
  </si>
  <si>
    <t>Department of Youth Development</t>
  </si>
  <si>
    <t>YDF National Technical Committee</t>
  </si>
  <si>
    <t>Direct lending, Early-stage finance, Grants and subsidies</t>
  </si>
  <si>
    <t>Supporting the growth of sustainable youth-led SMEs into the private sector for wealth and employment creation. Specifically, the fund was established to:
i) Stimulate the creation of employment opportunities by supporting the growth and sustainability of youth-led enterprises.
ii) Promote and stimulate active participation of youths in the socio-economic development of the country.
iii) Encourage the out-of-school, marginalized and unemployed youths to venture into sustainable and viable income generating projects.
iv) Promote the development of competitive sustainable and growth oriented citizen owned youth-led enterprises.
v) Provide continued business support services for the development of sustainable youth-led enterprise development.
vi) Enhance economic activity among the youth population as an avenue towards wealth creation.</t>
  </si>
  <si>
    <r>
      <rPr>
        <b/>
        <sz val="10"/>
        <color theme="1"/>
        <rFont val="Arial Nova"/>
        <family val="2"/>
      </rPr>
      <t xml:space="preserve">Direct lending: </t>
    </r>
    <r>
      <rPr>
        <sz val="10"/>
        <color theme="1"/>
        <rFont val="Arial Nova"/>
        <family val="2"/>
      </rPr>
      <t>Maxium of K500,000; 5% flat interest rate.</t>
    </r>
  </si>
  <si>
    <t>Only creation of 742 paid jobs from 2011-2015; only 16% of those who borrowed money fully repaid to date</t>
  </si>
  <si>
    <t>https://www.zipar.org.zm/download/youth-development-fund-evaluation-final-report/</t>
  </si>
  <si>
    <t>Citizens Economic Empowerment Fund</t>
  </si>
  <si>
    <t>Government of Zambia</t>
  </si>
  <si>
    <t>Citizens Economic Empowerment Commission</t>
  </si>
  <si>
    <t>* Increased Access to Finance for MSMEs.</t>
  </si>
  <si>
    <r>
      <rPr>
        <b/>
        <sz val="10"/>
        <color theme="1"/>
        <rFont val="Arial Nova"/>
        <family val="2"/>
      </rPr>
      <t xml:space="preserve">Direct lending: </t>
    </r>
    <r>
      <rPr>
        <sz val="10"/>
        <color theme="1"/>
        <rFont val="Arial Nova"/>
        <family val="2"/>
      </rPr>
      <t xml:space="preserve">Project finance: provide secured loans  over K50,000 with a maximum tenure of 60 months with a moratorium tailored to the nature of the business; interest rate is 12%, collateral is required; micro finance: loans of up to K50,000 don't require collateral, maxiumum tenure of 36 months, interest rate is 12% p.a., grace period from 3-6 months and repayment period from 12-36 months, depending on loan amount, collateral required.
</t>
    </r>
    <r>
      <rPr>
        <b/>
        <sz val="10"/>
        <color theme="1"/>
        <rFont val="Arial Nova"/>
        <family val="2"/>
      </rPr>
      <t>Grants and subsidies</t>
    </r>
    <r>
      <rPr>
        <sz val="10"/>
        <color theme="1"/>
        <rFont val="Arial Nova"/>
        <family val="2"/>
      </rPr>
      <t>: Has a grant facility but no detailed information on the grant itself.</t>
    </r>
  </si>
  <si>
    <t>Citizens Economic
Empowerment Act No 9 of 2006</t>
  </si>
  <si>
    <t>*64 clients were funded against the target of 1,600
*The value of the disbursed empowerment funds stood at ZMW30.3 Million against an annual target of ZMW50 Million</t>
  </si>
  <si>
    <t>Loan recovery is 51%</t>
  </si>
  <si>
    <t>http://www.ceec.org.zm/wp-content/uploads/2019/07/CEEC-2018-ANNUAL-REPORT.pdf; https://www.zipar.org.zm/download/youth-development-fund-evaluation-final-report/</t>
  </si>
  <si>
    <t>National Savings and Credit Bank of Zambia</t>
  </si>
  <si>
    <t>* Delivering financial inclusion: To provide innovative, convenient and affordable financially inclusive services to our customers.</t>
  </si>
  <si>
    <r>
      <rPr>
        <b/>
        <sz val="10"/>
        <color theme="1"/>
        <rFont val="Arial Nova"/>
        <family val="2"/>
      </rPr>
      <t xml:space="preserve">Direct lending:
* </t>
    </r>
    <r>
      <rPr>
        <sz val="10"/>
        <color theme="1"/>
        <rFont val="Arial Nova"/>
        <family val="2"/>
      </rPr>
      <t>Provide loans to Micro, Small and Medium Enterprises (MSME) for the purchase of equipment and implements they need to enhance productivity and profitability. This can be accessed by individuals, companies etc.
* COVID-19: Have a partnership with the Zambia National Marketeers Credit Association, which has about 500,000 members. Have structured a revolving fund that allows their members access funds, upon payment by those who had initially accessed the fund.</t>
    </r>
  </si>
  <si>
    <t>National Savings and Credit Act</t>
  </si>
  <si>
    <t xml:space="preserve"> bank has so far invested K16 million into the Bunjimi asset plus loan product that is undertaken to mechanise smallholder farmers.
In an interview at the ongoing 90th Zambia the Show, Mr Chabu said over 300 farmers countrywide have benefitted from the product that was launched last year in conjunction with the Zambia National Farmers Union (ZNFU).</t>
  </si>
  <si>
    <t>https://www.afgri.co.za/2016/08/02/zambia-daily-mail-article-natsave-invests-k16m-bunjimi-loans/; https://www.africanleadershipmagazine.co.uk/natsave-set-to-support-smes-in-zambia-amidst-covid-19-disruption/</t>
  </si>
  <si>
    <t>Government of Zimbabwe, Reserve Bank of Zimbabwe</t>
  </si>
  <si>
    <t>Minister of Finance and Economic Development</t>
  </si>
  <si>
    <t>Capacity building MSMEs, Collateral registry, Incentives to financial institutions</t>
  </si>
  <si>
    <t>Micro enterprises, People with disabilities, Rural livelihoods, Women, Youth</t>
  </si>
  <si>
    <t xml:space="preserve">Agriculture, Financial sector </t>
  </si>
  <si>
    <t>Commercial Banks, MFI's, Community groups, FinTechs, Other financial institutions</t>
  </si>
  <si>
    <t>* The NFIS seeks to address barriers to financial inclusion, prioritise and address the needs of special target groups which are currently underserved, through the implementation of key priority measures that will facilitate the building of robust financial infrastructures with the view to reducing the level of financial exclusion.</t>
  </si>
  <si>
    <r>
      <t xml:space="preserve">
</t>
    </r>
    <r>
      <rPr>
        <b/>
        <sz val="10"/>
        <color theme="1"/>
        <rFont val="Arial Nova"/>
        <family val="2"/>
      </rPr>
      <t xml:space="preserve">Capacity building MSMEs: </t>
    </r>
    <r>
      <rPr>
        <sz val="10"/>
        <color theme="1"/>
        <rFont val="Arial Nova"/>
        <family val="2"/>
      </rPr>
      <t xml:space="preserve">Development of programmes aimed at capacitating MSMEs and enhance their entrepreneurial and financial skills to effectively and efficiently manage their businesses. This will include financial literacy and training in critical areas such as cashflow management, tax and corporate governance; financial and consumer education programs that recognise the socio- economic diversity of Zimbabwean population, which translates to differentiated initiatives for the different groups of MSMEs. Socio- economic diversity requires different approaches and differentiated delivery channels, including workshops, the media, capacity-building initiatives, financial education programs and the social media. This shall be achieved through partnership and collaboration of all financial sector regulatory authorities and various stakeholders, including Ministry of Small &amp; Medium Enterprises and Co-operative Development, Ministry of Primary &amp; Secondary Education, and tertiary institutions.    
</t>
    </r>
    <r>
      <rPr>
        <b/>
        <sz val="10"/>
        <color theme="1"/>
        <rFont val="Arial Nova"/>
        <family val="2"/>
      </rPr>
      <t>Incentives financial institutions:</t>
    </r>
    <r>
      <rPr>
        <sz val="10"/>
        <color theme="1"/>
        <rFont val="Arial Nova"/>
        <family val="2"/>
      </rPr>
      <t xml:space="preserve"> Development of prudential and regulatory incentives that are biased towards supporting lending to MSMEs.
</t>
    </r>
    <r>
      <rPr>
        <b/>
        <sz val="10"/>
        <color theme="1"/>
        <rFont val="Arial Nova"/>
        <family val="2"/>
      </rPr>
      <t xml:space="preserve">Capacity building financial institutions: </t>
    </r>
    <r>
      <rPr>
        <sz val="10"/>
        <color theme="1"/>
        <rFont val="Arial Nova"/>
        <family val="2"/>
      </rPr>
      <t xml:space="preserve">Facilitation of capacity building programs for financial institutions to enable them to develop innovative and appropriate financial products and services for MSMEs.
</t>
    </r>
    <r>
      <rPr>
        <b/>
        <sz val="10"/>
        <color theme="1"/>
        <rFont val="Arial Nova"/>
        <family val="2"/>
      </rPr>
      <t xml:space="preserve">Collateral registry: </t>
    </r>
    <r>
      <rPr>
        <sz val="10"/>
        <color theme="1"/>
        <rFont val="Arial Nova"/>
        <family val="2"/>
      </rPr>
      <t xml:space="preserve">Promotion of the use of moveable assets as collateral to facilitate MSMEs access to credit. Lending institutions should develop appropriate collateral substitutes in order to address the challenge of security.
</t>
    </r>
    <r>
      <rPr>
        <b/>
        <sz val="10"/>
        <color theme="1"/>
        <rFont val="Arial Nova"/>
        <family val="2"/>
      </rPr>
      <t>Trade/supply chain finance:</t>
    </r>
    <r>
      <rPr>
        <sz val="10"/>
        <color theme="1"/>
        <rFont val="Arial Nova"/>
        <family val="2"/>
      </rPr>
      <t xml:space="preserve"> Promotion of value chain financing models by banks and other lenders to facilitate increased business opportunities for MSMEs in all sectors of the economy.</t>
    </r>
  </si>
  <si>
    <t xml:space="preserve">i) To increase the overall level of access to affordable and appropriate formal financial services within the country from 69% in 2014 to at least 90% by 2020.
ii) To increase the proportion of banked adults from 30% in 2014 to at least 60% by 2020.
iii) To have 85% of the MSMEs formally
registered with the Companies Registry
iv) Improve the proportion of financially included MSMEs to 80%
v) Ensure that at least 80% of the MSMEs have a formal bank account in the name of the business.
vi) USD10 million SME Fund for Exporters
vii) Increase access points in rural areas to less than 5 kilometres from an access point through low-cost bank branch models, agent banking and combined with mobile and electronic delivery channels.
viii) Improve the proportion of formally insured MSMEs from the current 5% to 30% by 2020.
</t>
  </si>
  <si>
    <t>Youth Development Fund (sub-intervention not included here)</t>
  </si>
  <si>
    <t>https://www.rbz.co.zw/documents/BLSS/FinancialInclusion/National-Financial-Inclusion-Strategy.pdf</t>
  </si>
  <si>
    <t>Youth and Women Empowerment Project</t>
  </si>
  <si>
    <t>Ministry of Finance and Economic Development</t>
  </si>
  <si>
    <t>Ministry of Finance and Economic Development, Ministry of Trade and Industry
Statistics</t>
  </si>
  <si>
    <t>Women, Youth, Rural livelihoods</t>
  </si>
  <si>
    <r>
      <t>Agriculture,</t>
    </r>
    <r>
      <rPr>
        <sz val="10"/>
        <color rgb="FFFF0000"/>
        <rFont val="Arial Nova"/>
        <family val="2"/>
      </rPr>
      <t xml:space="preserve"> </t>
    </r>
    <r>
      <rPr>
        <sz val="10"/>
        <color theme="1"/>
        <rFont val="Arial Nova"/>
        <family val="2"/>
      </rPr>
      <t>Mining, Trade</t>
    </r>
  </si>
  <si>
    <t>Commercial banks, NGOs, Other financial institutions</t>
  </si>
  <si>
    <t>* To contribute to the improvement of livelihoods for youth and women through the development of economic opportunities.</t>
  </si>
  <si>
    <r>
      <rPr>
        <b/>
        <sz val="10"/>
        <rFont val="Arial Nova"/>
        <family val="2"/>
      </rPr>
      <t>Capacity building MSMEs:</t>
    </r>
    <r>
      <rPr>
        <sz val="10"/>
        <color rgb="FFFF0000"/>
        <rFont val="Arial Nova"/>
        <family val="2"/>
      </rPr>
      <t xml:space="preserve"> </t>
    </r>
    <r>
      <rPr>
        <sz val="10"/>
        <color theme="1"/>
        <rFont val="Arial Nova"/>
        <family val="2"/>
      </rPr>
      <t>Conduct youth business development training on sustainable business management; financial literacy; business ethics; product marketing; business synergies; total quality management.</t>
    </r>
  </si>
  <si>
    <t>i) The Project targets the women and youth in 5 of the 59 districts of the
country. The targeted districts are Beitbridge (mopane worms) Mutasa and Lupane (honey), Guruve (artisanal gold ore milling); Mutasa and Marondera (horticulture); and The population of the targeted districts, totalling 650,000 (50.7% female) is expected to benefit indirectly from the project
ii) A total of 5,000 youth and women located in the project geographic scope will benefit from additional off-farm jobs to be created in the subsectors of food processing, and processing of gold ore
iii) Women in the targeted districts will constitute 60% of these direct beneficiaries, while men will also be targeted to a level of 40% of beneficiaries.
iv) 200 MSMEs in the targeted food value chains are expected to be reached with business development services, appropriate technology and facilitating their access to credits and markets
v) Reduce average poverty prevalence in the 5 targeted districts from 70% (2014) to 65% (2025)</t>
  </si>
  <si>
    <r>
      <t>i)</t>
    </r>
    <r>
      <rPr>
        <sz val="10"/>
        <rFont val="Arial Nova"/>
        <family val="2"/>
      </rPr>
      <t xml:space="preserve"> 5000 employment opportunities created in target districts for women and youth (60% for women
(35+yrs.) and female youth (35-
yrs.)
ii) Increased incomes of targeted women and youth groups in horticulture – USD 80 to 120; artisanal mining – USD 60 to 90
iii) 8 horticulture, mopane worms and honey processing units set up in targeted districts as SMEs</t>
    </r>
  </si>
  <si>
    <t>https://www.afdb.org/en/documents/document/zimbabwe-youth-and-women-empowerment-project-92569</t>
  </si>
  <si>
    <t>Zimbabwe National Development Policy</t>
  </si>
  <si>
    <t>Credit guarantee, Direct lending, Equity investment or incentives, Grants and subsidies</t>
  </si>
  <si>
    <t xml:space="preserve">Agriculture, Mining, Manufacturing, Services </t>
  </si>
  <si>
    <t>* The Zimbabwe National Industrial Development Policy seeks to facilitate, the sustainable growth of industry, development of new industries and the transformation and diversification of the Zimbabwean industry. 
* To facilitate and promote the development of sustainable, innovative, inclusive and globally competitive industrial and commercial enterprises for improved consumer welfare and economic growth.</t>
  </si>
  <si>
    <r>
      <rPr>
        <b/>
        <sz val="10"/>
        <color theme="1"/>
        <rFont val="Arial Nova"/>
        <family val="2"/>
      </rPr>
      <t>Credit guarantee:</t>
    </r>
    <r>
      <rPr>
        <sz val="10"/>
        <color theme="1"/>
        <rFont val="Arial Nova"/>
        <family val="2"/>
      </rPr>
      <t xml:space="preserve">
* Domestic and international financiers will be engaged to consider extending lines of credit to the industrial sector to support technological re-equipment and modernization of production systems. 
* Government will facilitate strategic investments through provision of guarantees on loans for investment projects. Foreign Direct Investments guarantees will also be available through the African Trade Insurance Agency in addition to other private sector led initiatives. 
</t>
    </r>
    <r>
      <rPr>
        <b/>
        <sz val="10"/>
        <color theme="1"/>
        <rFont val="Arial Nova"/>
        <family val="2"/>
      </rPr>
      <t>Direct lending:
*</t>
    </r>
    <r>
      <rPr>
        <sz val="10"/>
        <color theme="1"/>
        <rFont val="Arial Nova"/>
        <family val="2"/>
      </rPr>
      <t xml:space="preserve">Government will promote industrialization through provision of incentives and targeted financing, policy support and business development services for the establishment of micro, small, medium and large scale manufacturing industries in rural areas in line with available local resources
*The small and medium enterprises and rural industrialization will be funded, among other sources, through group financing schemes such as credit unions and cooperatives.
</t>
    </r>
    <r>
      <rPr>
        <b/>
        <sz val="10"/>
        <color theme="1"/>
        <rFont val="Arial Nova"/>
        <family val="2"/>
      </rPr>
      <t xml:space="preserve">Equity investment or incentives: </t>
    </r>
    <r>
      <rPr>
        <sz val="10"/>
        <color theme="1"/>
        <rFont val="Arial Nova"/>
        <family val="2"/>
      </rPr>
      <t xml:space="preserve">Government will identify other sources of financing like equity financing and insurance funds to feed into the industrialization agenda. 
</t>
    </r>
    <r>
      <rPr>
        <b/>
        <sz val="10"/>
        <color theme="1"/>
        <rFont val="Arial Nova"/>
        <family val="2"/>
      </rPr>
      <t xml:space="preserve">Grants and subsidies: </t>
    </r>
    <r>
      <rPr>
        <sz val="10"/>
        <color theme="1"/>
        <rFont val="Arial Nova"/>
        <family val="2"/>
      </rPr>
      <t xml:space="preserve">Government will offer incentives to stimulate innovation (tax rebates and low interest rates for firms, grants) to support promising technological or scientific fields. </t>
    </r>
  </si>
  <si>
    <t>http://www.miced.gov.zw/index.php?option=com_phocadownload&amp;view=category&amp;download=78:znidp-2019-2023&amp;id=3:zim-asset&amp;Itemid=758#:~:text=The%20Zimbabwe%20National%20Industrial%20Development,to%20achieve%20the%20above%20objectives.&amp;text=Various%20policies%20and%20strategies%20will,short%2Dto%2D%20medium%20term.</t>
  </si>
  <si>
    <t>The Zimbabwe Youth Empowerment Programme (ZYEP)</t>
  </si>
  <si>
    <t xml:space="preserve">Government of Zimbabwe, funded by the Deparment for International Development </t>
  </si>
  <si>
    <t>International Youth Foundation</t>
  </si>
  <si>
    <t xml:space="preserve">Micro enterprises, Women, Youth </t>
  </si>
  <si>
    <t xml:space="preserve">* The Zimbabwe Youth Empowerment Programme (ZYEP) aims to build work readiness skills and improve the employment and self-employment status of young Zimbabweans, particularly young women, and in doing so contribute towards economic growth in Zimbabwe. </t>
  </si>
  <si>
    <r>
      <rPr>
        <b/>
        <sz val="10"/>
        <color theme="1"/>
        <rFont val="Arial Nova"/>
        <family val="2"/>
      </rPr>
      <t xml:space="preserve">Credit guarantee: </t>
    </r>
    <r>
      <rPr>
        <sz val="10"/>
        <color theme="1"/>
        <rFont val="Arial Nova"/>
        <family val="2"/>
      </rPr>
      <t xml:space="preserve">The DCA facility is a loan portfolio guarantee backed by the US Treasury, which will pay out against a portion (50%) of the loan defaults a commercial bank experiences under the scheme. The DCA facility works with banks that use their own funds to lend to Zimbabwean businesses (operating in agribusiness, SMEs and women-and-youth-owned enterprise sectors) on the back of the DCA guarantee.
</t>
    </r>
    <r>
      <rPr>
        <b/>
        <sz val="10"/>
        <color theme="1"/>
        <rFont val="Arial Nova"/>
        <family val="2"/>
      </rPr>
      <t xml:space="preserve">Capacity building MSMEs:
</t>
    </r>
    <r>
      <rPr>
        <sz val="10"/>
        <color theme="1"/>
        <rFont val="Arial Nova"/>
        <family val="2"/>
      </rPr>
      <t>* Women and youth participating in financial literacy training tailored towards accessing and utilizing microfinance.
* Implement youth programs (aimed at making young Zimbabweans more employable and more capable of running small businesses).</t>
    </r>
  </si>
  <si>
    <t>i) 30% of participating young women and men starting their own enterprises 6-months ex-post 
ii) 20 % of youth enrolled in vocational training participating in SME mentorships
iii) 65% of young women participating in financial literacy training tailored towards accessing and utilizing 
iv) Value of incremental net profit earned by young business owners ($22,194,000)
v) 65% Percent of young women accessing business development services</t>
  </si>
  <si>
    <t xml:space="preserve">i) 24%. 3,601 (73% female) young people had received loans as of 30 June 2017. This figure rises to 36% if repeat loans of 1,262 are included, bringing the total loans disbursed to 4,863 (surpassing target by 2%.)  </t>
  </si>
  <si>
    <t xml:space="preserve">i) Number of youth accessing business development services (disaggregated by type of entrepreneurship training and SME awards participation). As at end July 14,950 (111% of target) 
ii) Percent of young women accessing business development services, Above target: 68% 
iii) % of young women participating in SME mentorships in occupations under represented by women, Above target: 27%
iv) Percent of referrals that receive loans, Below target: 47% </t>
  </si>
  <si>
    <t>https://devtracker.fcdo.gov.uk/projects/GB-1-204911/documents</t>
  </si>
  <si>
    <t>National Microfinance Policy</t>
  </si>
  <si>
    <t>National Taskforce on Microfinance</t>
  </si>
  <si>
    <t>The Reserve Bank of Zimbabwe_x000D_</t>
  </si>
  <si>
    <r>
      <rPr>
        <sz val="10"/>
        <rFont val="Arial Nova"/>
        <family val="2"/>
      </rPr>
      <t>Credit information system</t>
    </r>
    <r>
      <rPr>
        <sz val="10"/>
        <color theme="1"/>
        <rFont val="Arial Nova"/>
        <family val="2"/>
      </rPr>
      <t>, Incentives to financial institutions, Regulatory environment</t>
    </r>
  </si>
  <si>
    <t xml:space="preserve">Financial sector, Informal sector </t>
  </si>
  <si>
    <t>i) To promote the development of a robust, inclusive financial sector.
ii) To promote synergy and mainstreaming of the informal sub-sector into the national financial system.
iii) to enhance service delivery by microfinance institutions to the economically active poor and SMEs.
iv) To contribute to rural transformation; and
v) To promote linkage programmes between commercial banks, building societies, development banks, specialized institutions and microfinance banks and other microfinance stakeholders.</t>
  </si>
  <si>
    <r>
      <rPr>
        <b/>
        <sz val="10"/>
        <color theme="1"/>
        <rFont val="Arial Nova"/>
        <family val="2"/>
      </rPr>
      <t xml:space="preserve">Credit information system: </t>
    </r>
    <r>
      <rPr>
        <sz val="10"/>
        <color theme="1"/>
        <rFont val="Arial Nova"/>
        <family val="2"/>
      </rPr>
      <t xml:space="preserve">Establishing a Credit Reference Bureau to enhance credit risk management practices and aid decision making on current and potential microfinance clients MFBs. 
</t>
    </r>
    <r>
      <rPr>
        <b/>
        <sz val="10"/>
        <color theme="1"/>
        <rFont val="Arial Nova"/>
        <family val="2"/>
      </rPr>
      <t xml:space="preserve">Credit guarantee: </t>
    </r>
    <r>
      <rPr>
        <sz val="10"/>
        <color theme="1"/>
        <rFont val="Arial Nova"/>
        <family val="2"/>
      </rPr>
      <t xml:space="preserve">The purpose of the Fund is to promote the development of the microfinance sector through wholesale lending, guarantee funding, refinancing facility, capacity building, and other promotional activities.
</t>
    </r>
    <r>
      <rPr>
        <b/>
        <sz val="10"/>
        <color theme="1"/>
        <rFont val="Arial Nova"/>
        <family val="2"/>
      </rPr>
      <t xml:space="preserve">Incentives to financial institutions:
</t>
    </r>
    <r>
      <rPr>
        <sz val="10"/>
        <color theme="1"/>
        <rFont val="Arial Nova"/>
        <family val="2"/>
      </rPr>
      <t xml:space="preserve">* Promote the participation of Government in the microfinance industry by encouraging local authorities to devote at least five percent of their annual budgets to micro-credit initiatives. 
* Encouragement of commercial banks and building societies to go downstream into microfinance either wholesaling funds to MFIs or retailing to consumers of microfinance institutions.
* Provision of budgetary allocation by government to enable access by MFIs to affordable sources of funding so as to lower the cost of funds.
* Tax exemptions on financial transactions by MFIs such as lending or interest income, profit tax, VAT, etc so that they reinvest their profits to finance enterprise development.
</t>
    </r>
    <r>
      <rPr>
        <b/>
        <sz val="10"/>
        <color theme="1"/>
        <rFont val="Arial Nova"/>
        <family val="2"/>
      </rPr>
      <t>Regulatory environment:</t>
    </r>
    <r>
      <rPr>
        <sz val="10"/>
        <color theme="1"/>
        <rFont val="Arial Nova"/>
        <family val="2"/>
      </rPr>
      <t xml:space="preserve">
* Development of an appropriate regulatory and supervisory framework for the microfinance sector.
* Licensing and regulation of Microfinance Banks (MFBs).</t>
    </r>
  </si>
  <si>
    <t>https://www.rbz.co.zw/documents/BLSS/FinancialInclusion/national-microfinance-policy.pdf</t>
  </si>
  <si>
    <t>COVID-19 Economic Recovery
and Stimulus Package</t>
  </si>
  <si>
    <t xml:space="preserve">Credit guarantee, Early- stage finance or incentives,  Grants and subsidies </t>
  </si>
  <si>
    <t>Agriculture, Financial sector, Health care, Mining, Manufacturing, Tourism</t>
  </si>
  <si>
    <t xml:space="preserve">* Provide critical liquidity support to all the productive sectors of the economy; including manufacturing, agriculture, mining and tourism.
* Protect employment through prevention and minimisation of Covid-19 induced and other related lay-offs.
* Provide income support for ALL vulnerable groups and individuals.
* Provide a recovery mechanism for the most affected micro enterprises and households.
* Take advantage of the Covid-19 response tools to further strengthen and expand existing social safety nets.
* Use existing infrastructure to deliver interventions ie Banks and MFis, MNOs and identified Civic Society structures in order to reach the intended beneficiaries quickly and in a systematic way.
* Upscale investments in social and economic infrastructure, including recovery of assets that were recently destroyed by floods in order to build resilience of affected communities. </t>
  </si>
  <si>
    <r>
      <rPr>
        <b/>
        <sz val="10"/>
        <color theme="1"/>
        <rFont val="Arial Nova"/>
        <family val="2"/>
      </rPr>
      <t>Credit guarantee:</t>
    </r>
    <r>
      <rPr>
        <sz val="10"/>
        <color theme="1"/>
        <rFont val="Arial Nova"/>
        <family val="2"/>
      </rPr>
      <t xml:space="preserve">
* Provision of Government Guarantees of up-to ZWL$2.5 billion for bank loans accessed by industry for working capital purposes. 
* Introduction of credit facility for the Gold sector to the tune of ZWL$1 billion targeting both small scale and large scale miners. Part of this funding will be available in foreign currency.
* A total of ZWL$500million in Government Guarantees has been put in place for tourism sector players to access working capital loans from banks. 
* A Tax Credit on up to 50% of expenditure. This will enable businesses/companies to have funds which can be invested back to the businesses to boost the working capital in order to sustain businesses.
</t>
    </r>
    <r>
      <rPr>
        <b/>
        <sz val="10"/>
        <color theme="1"/>
        <rFont val="Arial Nova"/>
        <family val="2"/>
      </rPr>
      <t>Early-stage finance:</t>
    </r>
    <r>
      <rPr>
        <sz val="10"/>
        <color theme="1"/>
        <rFont val="Arial Nova"/>
        <family val="2"/>
      </rPr>
      <t xml:space="preserve"> An amount of ZWL$20 million of seed capital, will be set aside to kick start a Tourism Revolving Fund which will give working capital to players in the sector. Government will request contributions from international partners (e.g World Bank, which have already indicated a keenness to contribute). 
</t>
    </r>
    <r>
      <rPr>
        <b/>
        <sz val="10"/>
        <color theme="1"/>
        <rFont val="Arial Nova"/>
        <family val="2"/>
      </rPr>
      <t>Grant and subsidies:</t>
    </r>
    <r>
      <rPr>
        <sz val="10"/>
        <color theme="1"/>
        <rFont val="Arial Nova"/>
        <family val="2"/>
      </rPr>
      <t xml:space="preserve">
* Government will settle ALL long overdue bills with Tourism sector players for services already rendered and that should unlock working capital resources. 
* Front-line health personnel will earn a Tax Free Risk allowance.
* Government has introduced Food Grant in order to support at least 1 000,000 vulnerable individuals for a period of eight months to carter for food needs. Within this, are the 200 000 micro-enterprise owners whose businesses have been disrupted by the lock down. Over a period of 8 months, the expenditure will be ZWL$2.4 billion. </t>
    </r>
  </si>
  <si>
    <t xml:space="preserve">i) Targeted investment of ZWL$20 million into the leather and textiles value chain. </t>
  </si>
  <si>
    <t>SME Support Fund, Health Sector Support Fund (sub-interventions not included here)</t>
  </si>
  <si>
    <t>http://www.veritaszim.net/sites/veritas_d/files/Details%20on%20the%20COVID-19%20Economic%20Recovery%20and%20Stimulus%20Package.pdf</t>
  </si>
  <si>
    <t>Please disregard this tab</t>
  </si>
  <si>
    <t>Some sort of evaluation information available</t>
  </si>
  <si>
    <t>Target indicators met or outperformed</t>
  </si>
  <si>
    <t>Other indicators suggest success</t>
  </si>
  <si>
    <t>Target indicators not met</t>
  </si>
  <si>
    <t>Other indicators suggest failure</t>
  </si>
  <si>
    <t>Fiscal measures</t>
  </si>
  <si>
    <t>Monetary measures</t>
  </si>
  <si>
    <t>Balance of payment measures</t>
  </si>
  <si>
    <t>Structural measures</t>
  </si>
  <si>
    <t xml:space="preserve">No definition </t>
  </si>
  <si>
    <t>Capacity building financial institutions: Providing continuous training and capacity building programs to improve the skills of staff, including the board of directors of microfinance providers.
Credit information system: Establish a Credit Reference Bureau (CRB), that will help to improve the quality of credit delivery and reduce loan default rates. 
Regulatory environment:
* Ensure that interventions of the Government complement rather than compete with private sector actors.
* Promoting a regulatory and operational environment that will allow commercial banks to downscale and provide microfinance services through wholesale funding off credit-only institutions that operate on a sustainable basis.</t>
  </si>
  <si>
    <t xml:space="preserve">
Direct lending: The Ministry of Economy and Finance and the Credit Agricole du Maroc have raised the ceiling of loans guaranteed to small farmers by the Fonds de Stabilisation Prudentielle from MAD 100,000 to MAD 200,000.
Credit information system: To enhance oversight of gender gaps in financial inclusion of women and female-owned enterprises, have gender data in the credit information system, and support modernization of Morocco’s credit information system, BAM has issued Notice No. L/BKAM/2018/9632 dated December 20, 2018, making it mandatory for payment companies to report gender-disaggregated data.
Grants and subsidies: Tax exemption on 50 percent of sales realized through electronic transaction for merchants with annual sales of less than MAD 2 million.
Payment system infrastructure: To promote the development of mobile payments, the BAM has adopted Decision No. 392/W/2018 on mobile payments, dated November 12, 2018 setting the conditions and modalities of mobile payments in Morocco, including interoperability of mobile wallets (m-wallets). 
Regulatory environment: To allow microfinance institutions to expand their portfolio and respond to credit demand of MSME. The Council of Government has approved and submitted to Parliament on November 13, 2018, Draft Law No. 85-18 amending Law No. 18-97 on Microcredit authorizing an increase in the maximum lending size from MAD 50,000 to MAD 150,000.</t>
  </si>
  <si>
    <t>MSME definition in place</t>
  </si>
  <si>
    <t>Parameters used in MSME definition</t>
  </si>
  <si>
    <t xml:space="preserve">This refers to whether the policy was implemented as a response to the effects of COVID-19 pandemic. </t>
  </si>
  <si>
    <t>Support to Financial Inclusion in Lesotho
(SUFIL)
 Project</t>
  </si>
  <si>
    <t>Ministère des Petites et Moyennes Entreprises et de la Promotion de l’Emploi</t>
  </si>
  <si>
    <t>*Promotion of small and medium enterprises and employment, in accordance with international conventions, laws, regulations and other legal instruments in force in the Republic of Benin</t>
  </si>
  <si>
    <r>
      <t>Capacity building MSMEs:</t>
    </r>
    <r>
      <rPr>
        <sz val="10"/>
        <color theme="1"/>
        <rFont val="Arial Nova"/>
        <family val="2"/>
      </rPr>
      <t xml:space="preserve"> Reinforcement of the technical capacities of SMEs; Development of the business plan;
Preparation and certification of financial statements; Constitution and filing of credit application file; Ex-post follow-up
Coaching; Development of feasibility study; Assistance in putting together tender documents; Mentor search for young entrepreneurs</t>
    </r>
  </si>
  <si>
    <t>https://pmepe.gouv.bj/</t>
  </si>
  <si>
    <t>Implementing agency</t>
  </si>
  <si>
    <t>Angola Investe Program, Programa de Apoio à Produção, Diversificação das Exportações e Substituição das Importações, PRODESI (Overarching framework not included here)</t>
  </si>
  <si>
    <t>National Development Plan 2013/2017 (Overarching framework not included here)</t>
  </si>
  <si>
    <t>Programa de Apoio à Produção, Diversificação das Exportações e Substituição das Importações, PRODESI (Overarching framework not included here)</t>
  </si>
  <si>
    <t>Overarching framework</t>
  </si>
  <si>
    <t>Institut Ivoirien de l’Entreprise (INIE) (Overarching framework not included here)</t>
  </si>
  <si>
    <t>Growth and Transformation Plan (Overarching framework not included here)</t>
  </si>
  <si>
    <t>Vision 30 (Overarching framework not included here)</t>
  </si>
  <si>
    <t>Kenya Industry and Entrepreneurship Project (Overarching framework not included here)</t>
  </si>
  <si>
    <t>National Vision 2020 (Overarching framework not included here)</t>
  </si>
  <si>
    <t>MSME policy 2012 (Overarching framework not included here)</t>
  </si>
  <si>
    <t>Government Vision 2030 (Overarching framework not included here)</t>
  </si>
  <si>
    <t xml:space="preserve">The MSME Policy is based on the key guiding policies established by the Namibian Government (Overarching framework not included here), namely:
• Vision 2030;
• The National Development Plans (NDP 4 and beyond);
• The Local EcoNomic Development White Paper of 2011;
• Namibia’s Industrial Policy of 2012;
• The National Rural Development Strategy of 2012;
• Harambee Prosperity Plan of 2016
• The Namibia Financial Sector Strategy 2011 - 2021 of 2012; and
• The Growth at Home Execution Strategy (2014). </t>
  </si>
  <si>
    <t>Component of the MSME Survival Fund that was established for Covid-19 support to MSME's in Nigeria. This is part of the broader Nigeria EcoNomic Sustainability Plan (Overarching framework not included here).</t>
  </si>
  <si>
    <t>The Offtake gurantee scheme is a component of the Nigeria EcoNomic Sustainability Plan (Overarching framework not included here)</t>
  </si>
  <si>
    <t>Support for enterprises based in townships and villages (Overarching framework not included here)</t>
  </si>
  <si>
    <t>Tanzania SME Development Policy 2003 (reviewed 2012) (Overarching framework not included here)</t>
  </si>
  <si>
    <t>Uganda Vision 2040 (Overarching framework not included here)</t>
  </si>
  <si>
    <t>National Youth Policy (Overarching framework not included here)</t>
  </si>
  <si>
    <t>Zimbabwe Agenda For Sustainable Socio-EcoNomic Transformation (ZIMASSET) (Overarching framework not included here)</t>
  </si>
  <si>
    <t>Zimbabwe Interim Poverty Reduction Strategy (Overarching framework not included here)</t>
  </si>
  <si>
    <t>National Trade Policy (Overarching framework not included here)</t>
  </si>
  <si>
    <t>Roadmap</t>
  </si>
  <si>
    <t>MSME Roadmap for the Republic of Malawi</t>
  </si>
  <si>
    <t>Intervention</t>
  </si>
  <si>
    <t>Overarching, nation-wide action plan for MSME development or MSME financing plan under which a range of other action plans, interventions and implementing agencies fall (strategic level)</t>
  </si>
  <si>
    <t>An institution that An institution that conducts MSME finance related interventions (programme level)</t>
  </si>
  <si>
    <t>Single and specific measures to improve MSME financing (programme level)</t>
  </si>
  <si>
    <t>A document outlining interventions that should be put into action but that is more specific in its nature and does not target the MSME sector as a whole (strategic level)</t>
  </si>
  <si>
    <t>Last updated: 03.02.2021</t>
  </si>
  <si>
    <t xml:space="preserve">  Availability of evaluation data</t>
  </si>
  <si>
    <t>Part of overarching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</si>
</sst>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i/>
      <sz val="11"/>
      <color theme="1"/>
      <name val="Calibri"/>
      <family val="2"/>
      <scheme val="minor"/>
    </font>
    <font>
      <b/>
      <i/>
      <sz val="16"/>
      <color theme="1"/>
      <name val="Arial Nova"/>
      <family val="2"/>
    </font>
    <font>
      <b/>
      <sz val="10"/>
      <name val="Arial Nova"/>
      <family val="2"/>
    </font>
    <font>
      <b/>
      <sz val="10"/>
      <color theme="1"/>
      <name val="Arial Nova"/>
      <family val="2"/>
    </font>
    <font>
      <sz val="11"/>
      <color theme="1"/>
      <name val="Arial Nova"/>
      <family val="2"/>
    </font>
    <font>
      <b/>
      <sz val="11"/>
      <color theme="1"/>
      <name val="Arial Nova"/>
      <family val="2"/>
    </font>
    <font>
      <b/>
      <sz val="11"/>
      <color theme="0"/>
      <name val="Arial Nova"/>
      <family val="2"/>
    </font>
    <font>
      <sz val="10"/>
      <color theme="1"/>
      <name val="Arial Nova"/>
      <family val="2"/>
    </font>
    <font>
      <sz val="12"/>
      <color theme="1"/>
      <name val="Arial Nova"/>
      <family val="2"/>
    </font>
    <font>
      <b/>
      <sz val="12"/>
      <color theme="1"/>
      <name val="Arial Nova"/>
      <family val="2"/>
    </font>
    <font>
      <sz val="11"/>
      <color theme="1"/>
      <name val="Calibri"/>
      <family val="2"/>
      <scheme val="minor"/>
    </font>
    <font>
      <sz val="11"/>
      <color rgb="FF000000"/>
      <name val="Calibri"/>
      <family val="2"/>
    </font>
    <font>
      <b/>
      <sz val="10"/>
      <color rgb="FF1B2E55"/>
      <name val="Arial Nova"/>
      <family val="2"/>
    </font>
    <font>
      <b/>
      <i/>
      <sz val="10"/>
      <color theme="1"/>
      <name val="Arial Nova"/>
      <family val="2"/>
    </font>
    <font>
      <u/>
      <sz val="10"/>
      <color theme="10"/>
      <name val="Arial Nova"/>
      <family val="2"/>
    </font>
    <font>
      <sz val="10"/>
      <name val="Arial Nova"/>
      <family val="2"/>
    </font>
    <font>
      <i/>
      <u/>
      <sz val="10"/>
      <color theme="10"/>
      <name val="Arial Nova"/>
      <family val="2"/>
    </font>
    <font>
      <sz val="10"/>
      <color rgb="FFFF0000"/>
      <name val="Arial Nova"/>
      <family val="2"/>
    </font>
    <font>
      <b/>
      <i/>
      <sz val="20"/>
      <color theme="1"/>
      <name val="Arial Nova"/>
      <family val="2"/>
    </font>
    <font>
      <b/>
      <sz val="16"/>
      <color rgb="FF1B2E55"/>
      <name val="Arial Nova"/>
      <family val="2"/>
    </font>
    <font>
      <b/>
      <sz val="10"/>
      <color theme="0"/>
      <name val="Arial Nova"/>
      <family val="2"/>
    </font>
    <font>
      <b/>
      <i/>
      <sz val="16"/>
      <color rgb="FF1B2E55"/>
      <name val="Arial Nova"/>
      <family val="2"/>
    </font>
    <font>
      <b/>
      <sz val="12"/>
      <color theme="0"/>
      <name val="Arial Nova"/>
      <family val="2"/>
    </font>
    <font>
      <b/>
      <i/>
      <sz val="20"/>
      <color rgb="FF1B2E55"/>
      <name val="Arial Nova"/>
      <family val="2"/>
    </font>
    <font>
      <sz val="16"/>
      <color theme="1"/>
      <name val="Arial Nova"/>
      <family val="2"/>
    </font>
    <font>
      <sz val="11"/>
      <color rgb="FF1B2E55"/>
      <name val="Arial Nova"/>
      <family val="2"/>
    </font>
    <font>
      <b/>
      <sz val="11"/>
      <color rgb="FF1B2E55"/>
      <name val="Arial Nova"/>
      <family val="2"/>
    </font>
    <font>
      <b/>
      <sz val="11"/>
      <color rgb="FF92E232"/>
      <name val="Arial Nova"/>
      <family val="2"/>
    </font>
    <font>
      <b/>
      <sz val="12"/>
      <color theme="4"/>
      <name val="Arial Nova"/>
      <family val="2"/>
    </font>
    <font>
      <b/>
      <sz val="20"/>
      <color rgb="FF1B2E55"/>
      <name val="Arial Nova"/>
      <family val="2"/>
    </font>
    <font>
      <sz val="16"/>
      <color rgb="FF1B2E55"/>
      <name val="Arial Nova"/>
      <family val="2"/>
    </font>
    <font>
      <b/>
      <sz val="11"/>
      <color theme="4"/>
      <name val="Arial Nova"/>
      <family val="2"/>
    </font>
    <font>
      <sz val="11"/>
      <color theme="10"/>
      <name val="Arial Nova"/>
      <family val="2"/>
    </font>
    <font>
      <i/>
      <sz val="10"/>
      <color theme="1"/>
      <name val="Arial Nova"/>
      <family val="2"/>
    </font>
    <font>
      <b/>
      <i/>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2E232"/>
        <bgColor indexed="64"/>
      </patternFill>
    </fill>
    <fill>
      <patternFill patternType="solid">
        <fgColor rgb="FF1B2E55"/>
        <bgColor indexed="64"/>
      </patternFill>
    </fill>
    <fill>
      <patternFill patternType="solid">
        <fgColor theme="0" tint="-0.499984740745262"/>
        <bgColor indexed="64"/>
      </patternFill>
    </fill>
    <fill>
      <patternFill patternType="solid">
        <fgColor theme="4" tint="0.79998168889431442"/>
        <bgColor indexed="64"/>
      </patternFill>
    </fill>
  </fills>
  <borders count="32">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style="thick">
        <color theme="0"/>
      </top>
      <bottom style="thick">
        <color rgb="FF1B2E55"/>
      </bottom>
      <diagonal/>
    </border>
    <border>
      <left style="thick">
        <color theme="0"/>
      </left>
      <right/>
      <top style="thick">
        <color theme="0"/>
      </top>
      <bottom style="thick">
        <color rgb="FF1B2E55"/>
      </bottom>
      <diagonal/>
    </border>
    <border>
      <left/>
      <right style="thick">
        <color theme="0"/>
      </right>
      <top style="thick">
        <color theme="0"/>
      </top>
      <bottom style="thick">
        <color rgb="FF1B2E55"/>
      </bottom>
      <diagonal/>
    </border>
    <border>
      <left/>
      <right/>
      <top style="thick">
        <color theme="0"/>
      </top>
      <bottom style="thin">
        <color theme="0" tint="-0.499984740745262"/>
      </bottom>
      <diagonal/>
    </border>
    <border>
      <left style="thick">
        <color theme="0" tint="-0.499984740745262"/>
      </left>
      <right style="thick">
        <color theme="0" tint="-0.499984740745262"/>
      </right>
      <top/>
      <bottom/>
      <diagonal/>
    </border>
    <border>
      <left style="thick">
        <color theme="0"/>
      </left>
      <right style="thick">
        <color theme="0"/>
      </right>
      <top/>
      <bottom style="thick">
        <color theme="0" tint="-0.499984740745262"/>
      </bottom>
      <diagonal/>
    </border>
    <border>
      <left style="thick">
        <color theme="0" tint="-0.499984740745262"/>
      </left>
      <right style="thin">
        <color theme="0" tint="-0.499984740745262"/>
      </right>
      <top style="thick">
        <color rgb="FF1B2E55"/>
      </top>
      <bottom style="thin">
        <color theme="0" tint="-0.499984740745262"/>
      </bottom>
      <diagonal/>
    </border>
    <border>
      <left style="thick">
        <color rgb="FF92E232"/>
      </left>
      <right/>
      <top style="thick">
        <color theme="0"/>
      </top>
      <bottom style="thick">
        <color rgb="FF92E232"/>
      </bottom>
      <diagonal/>
    </border>
    <border>
      <left/>
      <right/>
      <top style="thick">
        <color theme="0"/>
      </top>
      <bottom style="thick">
        <color rgb="FF92E232"/>
      </bottom>
      <diagonal/>
    </border>
    <border>
      <left/>
      <right style="thick">
        <color theme="0"/>
      </right>
      <top style="thick">
        <color theme="0"/>
      </top>
      <bottom style="thick">
        <color rgb="FF92E232"/>
      </bottom>
      <diagonal/>
    </border>
    <border>
      <left/>
      <right/>
      <top/>
      <bottom style="thin">
        <color theme="0" tint="-0.499984740745262"/>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style="thick">
        <color rgb="FF1B2E55"/>
      </top>
      <bottom style="thin">
        <color theme="0" tint="-0.499984740745262"/>
      </bottom>
      <diagonal/>
    </border>
    <border>
      <left/>
      <right style="thin">
        <color theme="0" tint="-0.499984740745262"/>
      </right>
      <top style="thick">
        <color rgb="FF1B2E55"/>
      </top>
      <bottom style="thin">
        <color theme="0" tint="-0.499984740745262"/>
      </bottom>
      <diagonal/>
    </border>
  </borders>
  <cellStyleXfs count="3">
    <xf numFmtId="0" fontId="0" fillId="0" borderId="0"/>
    <xf numFmtId="0" fontId="2" fillId="0" borderId="0" applyNumberFormat="0" applyFill="0" applyBorder="0" applyAlignment="0" applyProtection="0"/>
    <xf numFmtId="9" fontId="14" fillId="0" borderId="0" applyFont="0" applyFill="0" applyBorder="0" applyAlignment="0" applyProtection="0"/>
  </cellStyleXfs>
  <cellXfs count="151">
    <xf numFmtId="0" fontId="0" fillId="0" borderId="0" xfId="0"/>
    <xf numFmtId="0" fontId="3" fillId="2" borderId="0" xfId="0" applyFont="1" applyFill="1"/>
    <xf numFmtId="0" fontId="0" fillId="2" borderId="0" xfId="0" applyFill="1" applyAlignment="1">
      <alignment wrapText="1"/>
    </xf>
    <xf numFmtId="0" fontId="4" fillId="2" borderId="0" xfId="0" applyFont="1" applyFill="1"/>
    <xf numFmtId="0" fontId="0" fillId="2" borderId="0" xfId="0" applyFill="1" applyAlignment="1">
      <alignment horizontal="right" wrapText="1"/>
    </xf>
    <xf numFmtId="0" fontId="8" fillId="2" borderId="0" xfId="0" applyFont="1" applyFill="1"/>
    <xf numFmtId="0" fontId="9" fillId="2" borderId="0" xfId="0" applyFont="1" applyFill="1"/>
    <xf numFmtId="0" fontId="11" fillId="2" borderId="0" xfId="0" applyFont="1" applyFill="1"/>
    <xf numFmtId="0" fontId="9" fillId="2" borderId="0" xfId="0" applyFont="1" applyFill="1" applyAlignment="1">
      <alignment vertical="top" wrapText="1"/>
    </xf>
    <xf numFmtId="0" fontId="8" fillId="2" borderId="0" xfId="0" applyFont="1" applyFill="1" applyAlignment="1">
      <alignment vertical="top" wrapText="1"/>
    </xf>
    <xf numFmtId="0" fontId="0" fillId="2" borderId="0" xfId="0" applyFill="1"/>
    <xf numFmtId="0" fontId="0" fillId="2" borderId="0" xfId="0" applyFill="1"/>
    <xf numFmtId="0" fontId="12" fillId="0" borderId="2" xfId="0" applyFont="1" applyBorder="1" applyAlignment="1">
      <alignment vertical="top" wrapText="1"/>
    </xf>
    <xf numFmtId="0" fontId="1" fillId="0" borderId="0" xfId="0" applyFont="1"/>
    <xf numFmtId="1" fontId="0" fillId="0" borderId="0" xfId="0" applyNumberFormat="1"/>
    <xf numFmtId="9" fontId="0" fillId="0" borderId="0" xfId="2" applyFont="1"/>
    <xf numFmtId="0" fontId="0" fillId="0" borderId="0" xfId="0" applyAlignment="1">
      <alignment wrapText="1"/>
    </xf>
    <xf numFmtId="9" fontId="0" fillId="5" borderId="0" xfId="2" applyFont="1" applyFill="1"/>
    <xf numFmtId="0" fontId="0" fillId="6" borderId="0" xfId="0" applyFill="1"/>
    <xf numFmtId="0" fontId="15" fillId="0" borderId="0" xfId="0" applyFont="1" applyFill="1" applyBorder="1" applyAlignment="1"/>
    <xf numFmtId="9" fontId="15" fillId="0" borderId="0" xfId="2" applyFont="1" applyFill="1" applyBorder="1" applyAlignment="1"/>
    <xf numFmtId="0" fontId="0" fillId="0" borderId="0" xfId="0" applyBorder="1"/>
    <xf numFmtId="9" fontId="0" fillId="0" borderId="0" xfId="2" applyFont="1" applyBorder="1"/>
    <xf numFmtId="0" fontId="0" fillId="0" borderId="0" xfId="0" applyFill="1"/>
    <xf numFmtId="9" fontId="0" fillId="0" borderId="0" xfId="2" applyFont="1" applyFill="1"/>
    <xf numFmtId="9" fontId="0" fillId="0" borderId="0" xfId="2" applyFont="1" applyFill="1" applyBorder="1"/>
    <xf numFmtId="0" fontId="0" fillId="0" borderId="0" xfId="0" applyFill="1" applyBorder="1"/>
    <xf numFmtId="0" fontId="1" fillId="0" borderId="0" xfId="0" applyFont="1" applyBorder="1" applyAlignment="1"/>
    <xf numFmtId="0" fontId="0" fillId="0" borderId="0" xfId="0" applyBorder="1" applyAlignment="1"/>
    <xf numFmtId="0" fontId="22" fillId="2" borderId="0" xfId="0" applyFont="1" applyFill="1" applyBorder="1" applyAlignment="1">
      <alignment horizontal="left" vertical="top" wrapText="1"/>
    </xf>
    <xf numFmtId="0" fontId="23" fillId="0" borderId="0" xfId="0" applyFont="1" applyFill="1" applyBorder="1" applyAlignment="1">
      <alignment horizontal="center" vertical="top" wrapText="1"/>
    </xf>
    <xf numFmtId="0" fontId="25" fillId="0" borderId="15" xfId="0" applyFont="1" applyFill="1" applyBorder="1" applyAlignment="1">
      <alignment horizontal="center" vertical="top" wrapText="1"/>
    </xf>
    <xf numFmtId="0" fontId="0" fillId="9" borderId="0" xfId="0" applyFill="1" applyBorder="1" applyAlignment="1">
      <alignment wrapText="1"/>
    </xf>
    <xf numFmtId="0" fontId="17" fillId="0" borderId="17" xfId="0" applyFont="1" applyFill="1" applyBorder="1" applyAlignment="1">
      <alignment horizontal="center" vertical="center" wrapText="1"/>
    </xf>
    <xf numFmtId="0" fontId="0" fillId="9" borderId="0" xfId="0" applyFill="1" applyAlignment="1">
      <alignment wrapText="1"/>
    </xf>
    <xf numFmtId="0" fontId="0" fillId="9" borderId="0" xfId="0" applyFill="1"/>
    <xf numFmtId="0" fontId="16" fillId="7" borderId="10" xfId="0" applyFont="1" applyFill="1" applyBorder="1" applyAlignment="1">
      <alignment horizontal="center" wrapText="1"/>
    </xf>
    <xf numFmtId="0" fontId="16" fillId="9" borderId="16" xfId="0" applyFont="1" applyFill="1" applyBorder="1" applyAlignment="1">
      <alignment horizontal="center" wrapText="1"/>
    </xf>
    <xf numFmtId="0" fontId="24" fillId="8" borderId="18" xfId="0" applyFont="1" applyFill="1" applyBorder="1" applyAlignment="1">
      <alignment horizontal="center" wrapText="1"/>
    </xf>
    <xf numFmtId="0" fontId="24" fillId="8" borderId="10" xfId="0" applyFont="1" applyFill="1" applyBorder="1" applyAlignment="1">
      <alignment horizontal="center" wrapText="1"/>
    </xf>
    <xf numFmtId="0" fontId="24" fillId="9" borderId="10" xfId="0" applyFont="1" applyFill="1" applyBorder="1" applyAlignment="1">
      <alignment horizontal="center" wrapText="1"/>
    </xf>
    <xf numFmtId="0" fontId="16" fillId="9" borderId="7" xfId="0" applyFont="1" applyFill="1" applyBorder="1" applyAlignment="1">
      <alignment horizontal="center" wrapText="1"/>
    </xf>
    <xf numFmtId="0" fontId="0" fillId="9" borderId="0" xfId="0" applyFill="1" applyBorder="1" applyAlignment="1">
      <alignment horizontal="center"/>
    </xf>
    <xf numFmtId="0" fontId="0" fillId="2" borderId="0" xfId="0" applyFill="1" applyBorder="1" applyAlignment="1">
      <alignment horizontal="center"/>
    </xf>
    <xf numFmtId="0" fontId="22" fillId="2" borderId="0" xfId="0" applyFont="1" applyFill="1" applyBorder="1" applyAlignment="1">
      <alignment vertical="top" wrapText="1"/>
    </xf>
    <xf numFmtId="0" fontId="25" fillId="0" borderId="0" xfId="0" applyFont="1" applyFill="1" applyBorder="1" applyAlignment="1">
      <alignment vertical="top" wrapText="1"/>
    </xf>
    <xf numFmtId="0" fontId="26" fillId="8" borderId="10" xfId="0" applyFont="1" applyFill="1" applyBorder="1" applyAlignment="1">
      <alignment horizontal="center" wrapText="1"/>
    </xf>
    <xf numFmtId="0" fontId="7" fillId="9" borderId="10" xfId="0" applyFont="1" applyFill="1" applyBorder="1" applyAlignment="1">
      <alignment horizontal="center" wrapText="1"/>
    </xf>
    <xf numFmtId="0" fontId="17" fillId="2" borderId="0" xfId="0" applyFont="1" applyFill="1" applyBorder="1" applyAlignment="1">
      <alignment horizontal="center" vertical="top" wrapText="1"/>
    </xf>
    <xf numFmtId="0" fontId="28" fillId="0" borderId="0" xfId="0" applyFont="1"/>
    <xf numFmtId="0" fontId="8" fillId="2" borderId="0" xfId="0" applyFont="1" applyFill="1" applyAlignment="1"/>
    <xf numFmtId="0" fontId="30" fillId="2" borderId="0" xfId="0" applyFont="1" applyFill="1"/>
    <xf numFmtId="0" fontId="31" fillId="2" borderId="0" xfId="0" applyFont="1" applyFill="1"/>
    <xf numFmtId="0" fontId="2" fillId="2" borderId="0" xfId="1" applyFill="1"/>
    <xf numFmtId="0" fontId="27" fillId="2" borderId="0" xfId="0" applyFont="1" applyFill="1" applyBorder="1" applyAlignment="1">
      <alignment horizontal="left" vertical="top" wrapText="1"/>
    </xf>
    <xf numFmtId="9" fontId="35" fillId="0" borderId="0" xfId="0" applyNumberFormat="1" applyFont="1" applyFill="1"/>
    <xf numFmtId="9" fontId="35" fillId="2" borderId="0" xfId="2" applyFont="1" applyFill="1"/>
    <xf numFmtId="0" fontId="10" fillId="3" borderId="23" xfId="0" applyFont="1" applyFill="1" applyBorder="1" applyAlignment="1">
      <alignment wrapText="1"/>
    </xf>
    <xf numFmtId="0" fontId="8" fillId="2" borderId="24" xfId="0" applyFont="1" applyFill="1" applyBorder="1"/>
    <xf numFmtId="0" fontId="10" fillId="3" borderId="8" xfId="0" applyFont="1" applyFill="1" applyBorder="1"/>
    <xf numFmtId="0" fontId="8" fillId="2" borderId="26" xfId="0" applyFont="1" applyFill="1" applyBorder="1"/>
    <xf numFmtId="0" fontId="8" fillId="0" borderId="8" xfId="0" applyFont="1" applyFill="1" applyBorder="1" applyAlignment="1">
      <alignment vertical="top" wrapText="1"/>
    </xf>
    <xf numFmtId="0" fontId="8" fillId="0" borderId="11" xfId="0" applyFont="1" applyFill="1" applyBorder="1" applyAlignment="1">
      <alignment vertical="top" wrapText="1"/>
    </xf>
    <xf numFmtId="0" fontId="8" fillId="0" borderId="7" xfId="0" applyFont="1" applyFill="1" applyBorder="1" applyAlignment="1">
      <alignment wrapText="1"/>
    </xf>
    <xf numFmtId="0" fontId="8" fillId="2" borderId="7" xfId="0" applyFont="1" applyFill="1" applyBorder="1"/>
    <xf numFmtId="0" fontId="8" fillId="2" borderId="7" xfId="0" applyFont="1" applyFill="1" applyBorder="1" applyAlignment="1">
      <alignment wrapText="1"/>
    </xf>
    <xf numFmtId="0" fontId="10" fillId="3" borderId="7" xfId="0" applyFont="1" applyFill="1" applyBorder="1"/>
    <xf numFmtId="0" fontId="10" fillId="3" borderId="9" xfId="0" applyFont="1" applyFill="1" applyBorder="1"/>
    <xf numFmtId="0" fontId="8" fillId="2" borderId="9" xfId="0" applyFont="1" applyFill="1" applyBorder="1"/>
    <xf numFmtId="0" fontId="8" fillId="0" borderId="9" xfId="0" applyFont="1" applyFill="1" applyBorder="1"/>
    <xf numFmtId="0" fontId="10" fillId="3" borderId="8" xfId="0" applyFont="1" applyFill="1" applyBorder="1" applyAlignment="1">
      <alignment wrapText="1"/>
    </xf>
    <xf numFmtId="0" fontId="8" fillId="2" borderId="8" xfId="0" applyFont="1" applyFill="1" applyBorder="1"/>
    <xf numFmtId="0" fontId="8" fillId="0" borderId="8" xfId="0" applyFont="1" applyFill="1" applyBorder="1" applyAlignment="1">
      <alignment wrapText="1"/>
    </xf>
    <xf numFmtId="0" fontId="10" fillId="3" borderId="27" xfId="0" applyFont="1" applyFill="1" applyBorder="1"/>
    <xf numFmtId="0" fontId="10" fillId="3" borderId="11" xfId="0" applyFont="1" applyFill="1" applyBorder="1" applyAlignment="1">
      <alignment wrapText="1"/>
    </xf>
    <xf numFmtId="0" fontId="8" fillId="0" borderId="28" xfId="0" applyFont="1" applyFill="1" applyBorder="1"/>
    <xf numFmtId="0" fontId="8" fillId="0" borderId="29" xfId="0" applyFont="1" applyFill="1" applyBorder="1" applyAlignment="1">
      <alignment wrapText="1"/>
    </xf>
    <xf numFmtId="0" fontId="8" fillId="9" borderId="9" xfId="0" applyFont="1" applyFill="1" applyBorder="1"/>
    <xf numFmtId="0" fontId="8" fillId="9" borderId="8" xfId="0" applyFont="1" applyFill="1" applyBorder="1" applyAlignment="1">
      <alignment wrapText="1"/>
    </xf>
    <xf numFmtId="0" fontId="8" fillId="10" borderId="9" xfId="0" applyFont="1" applyFill="1" applyBorder="1"/>
    <xf numFmtId="0" fontId="8" fillId="10" borderId="8" xfId="0" applyFont="1" applyFill="1" applyBorder="1"/>
    <xf numFmtId="0" fontId="36" fillId="0" borderId="23" xfId="1" applyFont="1" applyFill="1" applyBorder="1" applyAlignment="1">
      <alignment vertical="center"/>
    </xf>
    <xf numFmtId="0" fontId="36" fillId="0" borderId="25" xfId="1" applyFont="1" applyFill="1" applyBorder="1" applyAlignment="1">
      <alignment vertical="center"/>
    </xf>
    <xf numFmtId="0" fontId="36" fillId="0" borderId="0" xfId="1" applyFont="1" applyFill="1"/>
    <xf numFmtId="0" fontId="0" fillId="9" borderId="0" xfId="0" applyFill="1" applyAlignment="1">
      <alignment horizontal="left"/>
    </xf>
    <xf numFmtId="0" fontId="0" fillId="2" borderId="0" xfId="0" applyFill="1" applyAlignment="1">
      <alignment horizontal="left"/>
    </xf>
    <xf numFmtId="0" fontId="0" fillId="0" borderId="0" xfId="0" applyAlignment="1">
      <alignment horizontal="left"/>
    </xf>
    <xf numFmtId="0" fontId="0" fillId="4" borderId="0" xfId="0" applyFill="1" applyAlignment="1">
      <alignment horizontal="left"/>
    </xf>
    <xf numFmtId="0" fontId="11" fillId="0" borderId="7" xfId="0" applyFont="1" applyFill="1" applyBorder="1" applyAlignment="1">
      <alignment horizontal="left"/>
    </xf>
    <xf numFmtId="0" fontId="0" fillId="0" borderId="0" xfId="0" applyFill="1" applyAlignment="1">
      <alignment horizontal="left"/>
    </xf>
    <xf numFmtId="0" fontId="22" fillId="2" borderId="0" xfId="0" applyFont="1" applyFill="1" applyBorder="1" applyAlignment="1">
      <alignment horizontal="left" vertical="top"/>
    </xf>
    <xf numFmtId="0" fontId="16" fillId="7" borderId="11" xfId="0" applyFont="1" applyFill="1" applyBorder="1" applyAlignment="1">
      <alignment horizontal="left"/>
    </xf>
    <xf numFmtId="0" fontId="11" fillId="0" borderId="8" xfId="0" applyFont="1" applyFill="1" applyBorder="1" applyAlignment="1">
      <alignment horizontal="left"/>
    </xf>
    <xf numFmtId="0" fontId="11" fillId="9" borderId="0" xfId="0" applyFont="1" applyFill="1" applyBorder="1" applyAlignment="1">
      <alignment horizontal="left"/>
    </xf>
    <xf numFmtId="0" fontId="11" fillId="0" borderId="9" xfId="0" applyFont="1" applyFill="1" applyBorder="1" applyAlignment="1">
      <alignment horizontal="left"/>
    </xf>
    <xf numFmtId="0" fontId="11" fillId="9" borderId="7" xfId="0" applyFont="1" applyFill="1" applyBorder="1" applyAlignment="1">
      <alignment horizontal="left"/>
    </xf>
    <xf numFmtId="0" fontId="18" fillId="0" borderId="7" xfId="1" applyFont="1" applyFill="1" applyBorder="1" applyAlignment="1">
      <alignment horizontal="left"/>
    </xf>
    <xf numFmtId="0" fontId="7" fillId="0" borderId="7" xfId="0" applyFont="1" applyFill="1" applyBorder="1" applyAlignment="1">
      <alignment horizontal="left"/>
    </xf>
    <xf numFmtId="15" fontId="11" fillId="0" borderId="7" xfId="0" applyNumberFormat="1" applyFont="1" applyFill="1" applyBorder="1" applyAlignment="1">
      <alignment horizontal="left"/>
    </xf>
    <xf numFmtId="14" fontId="11" fillId="0" borderId="7" xfId="0" applyNumberFormat="1" applyFont="1" applyFill="1" applyBorder="1" applyAlignment="1">
      <alignment horizontal="left"/>
    </xf>
    <xf numFmtId="15" fontId="11" fillId="0" borderId="7" xfId="0" quotePrefix="1" applyNumberFormat="1" applyFont="1" applyFill="1" applyBorder="1" applyAlignment="1">
      <alignment horizontal="left"/>
    </xf>
    <xf numFmtId="17" fontId="11" fillId="0" borderId="7" xfId="0" quotePrefix="1" applyNumberFormat="1" applyFont="1" applyFill="1" applyBorder="1" applyAlignment="1">
      <alignment horizontal="left"/>
    </xf>
    <xf numFmtId="14" fontId="11" fillId="0" borderId="7" xfId="0" quotePrefix="1" applyNumberFormat="1" applyFont="1" applyFill="1" applyBorder="1" applyAlignment="1">
      <alignment horizontal="left"/>
    </xf>
    <xf numFmtId="0" fontId="19" fillId="0" borderId="7" xfId="0" applyFont="1" applyFill="1" applyBorder="1" applyAlignment="1">
      <alignment horizontal="left"/>
    </xf>
    <xf numFmtId="17" fontId="11" fillId="0" borderId="7" xfId="0" applyNumberFormat="1" applyFont="1" applyFill="1" applyBorder="1" applyAlignment="1">
      <alignment horizontal="left"/>
    </xf>
    <xf numFmtId="16" fontId="11" fillId="0" borderId="7" xfId="0" quotePrefix="1" applyNumberFormat="1" applyFont="1" applyFill="1" applyBorder="1" applyAlignment="1">
      <alignment horizontal="left"/>
    </xf>
    <xf numFmtId="0" fontId="11" fillId="0" borderId="7" xfId="0" quotePrefix="1" applyFont="1" applyFill="1" applyBorder="1" applyAlignment="1">
      <alignment horizontal="left"/>
    </xf>
    <xf numFmtId="3" fontId="11" fillId="0" borderId="7" xfId="0" applyNumberFormat="1" applyFont="1" applyFill="1" applyBorder="1" applyAlignment="1">
      <alignment horizontal="left"/>
    </xf>
    <xf numFmtId="1" fontId="11" fillId="0" borderId="7" xfId="0" applyNumberFormat="1" applyFont="1" applyFill="1" applyBorder="1" applyAlignment="1">
      <alignment horizontal="left"/>
    </xf>
    <xf numFmtId="0" fontId="38" fillId="0" borderId="0" xfId="0" applyFont="1"/>
    <xf numFmtId="0" fontId="33" fillId="2" borderId="4"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5" xfId="0" applyFont="1" applyFill="1" applyBorder="1" applyAlignment="1">
      <alignment horizontal="left" vertical="top" wrapText="1"/>
    </xf>
    <xf numFmtId="0" fontId="8" fillId="2" borderId="0" xfId="0" applyFont="1" applyFill="1" applyAlignment="1">
      <alignment horizontal="left"/>
    </xf>
    <xf numFmtId="0" fontId="31" fillId="2" borderId="0" xfId="0" applyFont="1" applyFill="1" applyAlignment="1">
      <alignment horizontal="left"/>
    </xf>
    <xf numFmtId="0" fontId="32" fillId="2" borderId="0" xfId="0" applyFont="1" applyFill="1" applyAlignment="1">
      <alignment horizontal="left"/>
    </xf>
    <xf numFmtId="0" fontId="11" fillId="0" borderId="7" xfId="0" applyFont="1" applyFill="1" applyBorder="1" applyAlignment="1">
      <alignment horizontal="left" wrapText="1"/>
    </xf>
    <xf numFmtId="0" fontId="24" fillId="8" borderId="30" xfId="0" applyFont="1" applyFill="1" applyBorder="1" applyAlignment="1">
      <alignment wrapText="1"/>
    </xf>
    <xf numFmtId="0" fontId="24" fillId="8" borderId="31" xfId="0" applyFont="1" applyFill="1" applyBorder="1" applyAlignment="1">
      <alignment wrapText="1"/>
    </xf>
    <xf numFmtId="0" fontId="11" fillId="0" borderId="9" xfId="0" applyFont="1" applyBorder="1" applyAlignment="1">
      <alignment horizontal="left"/>
    </xf>
    <xf numFmtId="0" fontId="2" fillId="0" borderId="7" xfId="1" applyFill="1" applyBorder="1" applyAlignment="1">
      <alignment horizontal="left"/>
    </xf>
    <xf numFmtId="9" fontId="0" fillId="2" borderId="0" xfId="2" applyFont="1" applyFill="1" applyAlignment="1">
      <alignment wrapText="1"/>
    </xf>
    <xf numFmtId="9" fontId="0" fillId="2" borderId="0" xfId="0" applyNumberFormat="1" applyFill="1" applyAlignment="1">
      <alignment wrapText="1"/>
    </xf>
    <xf numFmtId="0" fontId="7" fillId="0" borderId="7" xfId="0" applyFont="1" applyFill="1" applyBorder="1" applyAlignment="1">
      <alignment horizontal="left" wrapText="1"/>
    </xf>
    <xf numFmtId="0" fontId="5" fillId="0" borderId="1" xfId="0" applyFont="1" applyBorder="1" applyAlignment="1">
      <alignment vertical="top" wrapText="1"/>
    </xf>
    <xf numFmtId="0" fontId="12" fillId="0" borderId="3" xfId="0" applyFont="1" applyBorder="1" applyAlignment="1">
      <alignment horizontal="left" vertical="top" wrapText="1"/>
    </xf>
    <xf numFmtId="0" fontId="32" fillId="2" borderId="0" xfId="0" applyFont="1" applyFill="1" applyAlignment="1"/>
    <xf numFmtId="0" fontId="2" fillId="2" borderId="0" xfId="1" applyFill="1" applyAlignment="1">
      <alignment horizontal="left"/>
    </xf>
    <xf numFmtId="0" fontId="27" fillId="2" borderId="0" xfId="0" applyFont="1" applyFill="1" applyBorder="1" applyAlignment="1">
      <alignment horizontal="center" vertical="top" wrapText="1"/>
    </xf>
    <xf numFmtId="0" fontId="31" fillId="2" borderId="0" xfId="0" applyFont="1" applyFill="1" applyAlignment="1">
      <alignment horizontal="left"/>
    </xf>
    <xf numFmtId="0" fontId="30" fillId="2" borderId="0" xfId="0" applyFont="1" applyFill="1" applyAlignment="1">
      <alignment horizontal="left" wrapText="1"/>
    </xf>
    <xf numFmtId="0" fontId="32" fillId="2" borderId="0" xfId="0" applyFont="1" applyFill="1" applyAlignment="1">
      <alignment horizontal="left"/>
    </xf>
    <xf numFmtId="0" fontId="8" fillId="2" borderId="0" xfId="0" applyFont="1" applyFill="1" applyAlignment="1">
      <alignment horizontal="left"/>
    </xf>
    <xf numFmtId="0" fontId="34" fillId="2" borderId="0" xfId="0" applyFont="1" applyFill="1" applyBorder="1" applyAlignment="1">
      <alignment horizontal="left" vertical="top" wrapText="1"/>
    </xf>
    <xf numFmtId="0" fontId="33" fillId="2" borderId="4"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5" xfId="0" applyFont="1" applyFill="1" applyBorder="1" applyAlignment="1">
      <alignment horizontal="left" vertical="top" wrapText="1"/>
    </xf>
    <xf numFmtId="0" fontId="8" fillId="2" borderId="0" xfId="0" applyFont="1" applyFill="1" applyAlignment="1">
      <alignment horizontal="left" wrapText="1"/>
    </xf>
    <xf numFmtId="0" fontId="22" fillId="2" borderId="4" xfId="0" applyFont="1" applyFill="1" applyBorder="1" applyAlignment="1">
      <alignment horizontal="left" vertical="top" wrapText="1"/>
    </xf>
    <xf numFmtId="0" fontId="22" fillId="2" borderId="6" xfId="0" applyFont="1" applyFill="1" applyBorder="1" applyAlignment="1">
      <alignment horizontal="left" vertical="top" wrapText="1"/>
    </xf>
    <xf numFmtId="0" fontId="22" fillId="2" borderId="5" xfId="0" applyFont="1" applyFill="1" applyBorder="1" applyAlignment="1">
      <alignment horizontal="left" vertical="top" wrapText="1"/>
    </xf>
    <xf numFmtId="0" fontId="23" fillId="0" borderId="0" xfId="0" applyFont="1" applyFill="1" applyBorder="1" applyAlignment="1">
      <alignment horizontal="center" wrapText="1"/>
    </xf>
    <xf numFmtId="0" fontId="23" fillId="0" borderId="22" xfId="0" applyFont="1" applyFill="1" applyBorder="1" applyAlignment="1">
      <alignment horizontal="center" wrapText="1"/>
    </xf>
    <xf numFmtId="0" fontId="25" fillId="0" borderId="19"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3" fillId="0" borderId="13" xfId="0" applyFont="1" applyFill="1" applyBorder="1" applyAlignment="1">
      <alignment horizontal="center" vertical="top" wrapText="1"/>
    </xf>
    <xf numFmtId="0" fontId="23" fillId="0" borderId="12"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2" borderId="0" xfId="0" applyFont="1" applyFill="1" applyBorder="1" applyAlignment="1">
      <alignment horizontal="center" vertical="top" wrapText="1"/>
    </xf>
  </cellXfs>
  <cellStyles count="3">
    <cellStyle name="Hyperlink" xfId="1" builtinId="8"/>
    <cellStyle name="Normal" xfId="0" builtinId="0"/>
    <cellStyle name="Percent" xfId="2" builtinId="5"/>
  </cellStyles>
  <dxfs count="5">
    <dxf>
      <font>
        <b val="0"/>
        <i val="0"/>
        <strike val="0"/>
        <condense val="0"/>
        <extend val="0"/>
        <outline val="0"/>
        <shadow val="0"/>
        <u val="none"/>
        <vertAlign val="baseline"/>
        <sz val="11"/>
        <color theme="1"/>
        <name val="Arial Nova"/>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vertical/>
        <horizontal/>
      </border>
    </dxf>
    <dxf>
      <font>
        <b val="0"/>
        <i val="0"/>
        <strike val="0"/>
        <condense val="0"/>
        <extend val="0"/>
        <outline val="0"/>
        <shadow val="0"/>
        <u val="none"/>
        <vertAlign val="baseline"/>
        <sz val="11"/>
        <color theme="1"/>
        <name val="Arial Nova"/>
        <family val="2"/>
        <scheme val="none"/>
      </font>
      <fill>
        <patternFill patternType="none">
          <fgColor indexed="64"/>
          <bgColor indexed="65"/>
        </patternFill>
      </fill>
      <border diagonalUp="0" diagonalDown="0">
        <left/>
        <right style="thin">
          <color theme="0" tint="-0.499984740745262"/>
        </right>
        <top style="thin">
          <color theme="0" tint="-0.499984740745262"/>
        </top>
        <bottom style="thin">
          <color theme="0" tint="-0.499984740745262"/>
        </bottom>
        <vertical/>
        <horizontal/>
      </border>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border outline="0">
        <bottom style="thin">
          <color theme="0" tint="-0.499984740745262"/>
        </bottom>
      </border>
    </dxf>
  </dxfs>
  <tableStyles count="0" defaultTableStyle="TableStyleMedium2" defaultPivotStyle="PivotStyleLight16"/>
  <colors>
    <mruColors>
      <color rgb="FF92E232"/>
      <color rgb="FF1B2E55"/>
      <color rgb="FF98EA2A"/>
      <color rgb="FFB0FD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3'!$C$1:$E$1</c:f>
              <c:strCache>
                <c:ptCount val="3"/>
                <c:pt idx="0">
                  <c:v>African average</c:v>
                </c:pt>
                <c:pt idx="1">
                  <c:v>Western Africa</c:v>
                </c:pt>
                <c:pt idx="2">
                  <c:v>Low-income</c:v>
                </c:pt>
              </c:strCache>
            </c:strRef>
          </c:cat>
          <c:val>
            <c:numRef>
              <c:f>'Analytics 3'!$C$2:$E$2</c:f>
              <c:numCache>
                <c:formatCode>0</c:formatCode>
                <c:ptCount val="3"/>
                <c:pt idx="0" formatCode="General">
                  <c:v>4.5</c:v>
                </c:pt>
                <c:pt idx="1">
                  <c:v>3.9375</c:v>
                </c:pt>
                <c:pt idx="2">
                  <c:v>3.0434782608695654</c:v>
                </c:pt>
              </c:numCache>
            </c:numRef>
          </c:val>
          <c:extLst>
            <c:ext xmlns:c16="http://schemas.microsoft.com/office/drawing/2014/chart" uri="{C3380CC4-5D6E-409C-BE32-E72D297353CC}">
              <c16:uniqueId val="{00000000-CCA0-4533-AD3E-67829C7C6FBC}"/>
            </c:ext>
          </c:extLst>
        </c:ser>
        <c:dLbls>
          <c:dLblPos val="outEnd"/>
          <c:showLegendKey val="0"/>
          <c:showVal val="1"/>
          <c:showCatName val="0"/>
          <c:showSerName val="0"/>
          <c:showPercent val="0"/>
          <c:showBubbleSize val="0"/>
        </c:dLbls>
        <c:gapWidth val="182"/>
        <c:axId val="718480960"/>
        <c:axId val="718485552"/>
      </c:barChart>
      <c:catAx>
        <c:axId val="71848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8485552"/>
        <c:crosses val="autoZero"/>
        <c:auto val="1"/>
        <c:lblAlgn val="ctr"/>
        <c:lblOffset val="100"/>
        <c:noMultiLvlLbl val="0"/>
      </c:catAx>
      <c:valAx>
        <c:axId val="718485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Average</a:t>
                </a:r>
                <a:r>
                  <a:rPr lang="en-ZA" baseline="0"/>
                  <a:t> number of MSME policies per country for the respective group of countries</a:t>
                </a:r>
                <a:endParaRPr lang="en-Z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84809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16061178502271"/>
          <c:y val="3.8056912655435385E-2"/>
          <c:w val="0.47206089432390141"/>
          <c:h val="0.80832010739840543"/>
        </c:manualLayout>
      </c:layout>
      <c:barChart>
        <c:barDir val="bar"/>
        <c:grouping val="clustered"/>
        <c:varyColors val="0"/>
        <c:ser>
          <c:idx val="0"/>
          <c:order val="0"/>
          <c:tx>
            <c:strRef>
              <c:f>'Analytics 3'!$E$139</c:f>
              <c:strCache>
                <c:ptCount val="1"/>
                <c:pt idx="0">
                  <c:v>Northern Africa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3'!$D$140:$D$147</c:f>
              <c:strCache>
                <c:ptCount val="8"/>
                <c:pt idx="0">
                  <c:v>Trade/supply chain finance</c:v>
                </c:pt>
                <c:pt idx="1">
                  <c:v>Equity investment or incentives</c:v>
                </c:pt>
                <c:pt idx="2">
                  <c:v>Deferral/restructuring of payments</c:v>
                </c:pt>
                <c:pt idx="3">
                  <c:v>MSME procurement</c:v>
                </c:pt>
                <c:pt idx="4">
                  <c:v>Early-stage finance</c:v>
                </c:pt>
                <c:pt idx="5">
                  <c:v>Grants and subsidies</c:v>
                </c:pt>
                <c:pt idx="6">
                  <c:v>Credit guarantee</c:v>
                </c:pt>
                <c:pt idx="7">
                  <c:v>Direct lending</c:v>
                </c:pt>
              </c:strCache>
            </c:strRef>
          </c:cat>
          <c:val>
            <c:numRef>
              <c:f>'Analytics 3'!$E$140:$E$147</c:f>
              <c:numCache>
                <c:formatCode>0%</c:formatCode>
                <c:ptCount val="8"/>
                <c:pt idx="0">
                  <c:v>0</c:v>
                </c:pt>
                <c:pt idx="1">
                  <c:v>0.11538461538461539</c:v>
                </c:pt>
                <c:pt idx="2">
                  <c:v>0</c:v>
                </c:pt>
                <c:pt idx="3">
                  <c:v>0</c:v>
                </c:pt>
                <c:pt idx="4">
                  <c:v>3.8461538461538464E-2</c:v>
                </c:pt>
                <c:pt idx="5">
                  <c:v>0.11538461538461539</c:v>
                </c:pt>
                <c:pt idx="6">
                  <c:v>0.42307692307692307</c:v>
                </c:pt>
                <c:pt idx="7">
                  <c:v>0.30769230769230771</c:v>
                </c:pt>
              </c:numCache>
            </c:numRef>
          </c:val>
          <c:extLst>
            <c:ext xmlns:c16="http://schemas.microsoft.com/office/drawing/2014/chart" uri="{C3380CC4-5D6E-409C-BE32-E72D297353CC}">
              <c16:uniqueId val="{00000000-CD50-40B7-8D9E-B183E8FCABCE}"/>
            </c:ext>
          </c:extLst>
        </c:ser>
        <c:ser>
          <c:idx val="1"/>
          <c:order val="1"/>
          <c:tx>
            <c:strRef>
              <c:f>'Analytics 3'!$F$139</c:f>
              <c:strCache>
                <c:ptCount val="1"/>
                <c:pt idx="0">
                  <c:v>All regions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3'!$D$140:$D$147</c:f>
              <c:strCache>
                <c:ptCount val="8"/>
                <c:pt idx="0">
                  <c:v>Trade/supply chain finance</c:v>
                </c:pt>
                <c:pt idx="1">
                  <c:v>Equity investment or incentives</c:v>
                </c:pt>
                <c:pt idx="2">
                  <c:v>Deferral/restructuring of payments</c:v>
                </c:pt>
                <c:pt idx="3">
                  <c:v>MSME procurement</c:v>
                </c:pt>
                <c:pt idx="4">
                  <c:v>Early-stage finance</c:v>
                </c:pt>
                <c:pt idx="5">
                  <c:v>Grants and subsidies</c:v>
                </c:pt>
                <c:pt idx="6">
                  <c:v>Credit guarantee</c:v>
                </c:pt>
                <c:pt idx="7">
                  <c:v>Direct lending</c:v>
                </c:pt>
              </c:strCache>
            </c:strRef>
          </c:cat>
          <c:val>
            <c:numRef>
              <c:f>'Analytics 3'!$F$140:$F$147</c:f>
              <c:numCache>
                <c:formatCode>0%</c:formatCode>
                <c:ptCount val="8"/>
                <c:pt idx="0">
                  <c:v>2.9787234042553193E-2</c:v>
                </c:pt>
                <c:pt idx="1">
                  <c:v>3.4042553191489362E-2</c:v>
                </c:pt>
                <c:pt idx="2">
                  <c:v>4.6808510638297871E-2</c:v>
                </c:pt>
                <c:pt idx="3">
                  <c:v>4.6808510638297871E-2</c:v>
                </c:pt>
                <c:pt idx="4">
                  <c:v>9.7872340425531917E-2</c:v>
                </c:pt>
                <c:pt idx="5">
                  <c:v>0.20425531914893616</c:v>
                </c:pt>
                <c:pt idx="6">
                  <c:v>0.2978723404255319</c:v>
                </c:pt>
                <c:pt idx="7">
                  <c:v>0.33617021276595743</c:v>
                </c:pt>
              </c:numCache>
            </c:numRef>
          </c:val>
          <c:extLst>
            <c:ext xmlns:c16="http://schemas.microsoft.com/office/drawing/2014/chart" uri="{C3380CC4-5D6E-409C-BE32-E72D297353CC}">
              <c16:uniqueId val="{00000001-CD50-40B7-8D9E-B183E8FCABCE}"/>
            </c:ext>
          </c:extLst>
        </c:ser>
        <c:dLbls>
          <c:dLblPos val="outEnd"/>
          <c:showLegendKey val="0"/>
          <c:showVal val="1"/>
          <c:showCatName val="0"/>
          <c:showSerName val="0"/>
          <c:showPercent val="0"/>
          <c:showBubbleSize val="0"/>
        </c:dLbls>
        <c:gapWidth val="182"/>
        <c:axId val="890943840"/>
        <c:axId val="890945808"/>
      </c:barChart>
      <c:catAx>
        <c:axId val="8909438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945808"/>
        <c:crosses val="autoZero"/>
        <c:auto val="1"/>
        <c:lblAlgn val="ctr"/>
        <c:lblOffset val="100"/>
        <c:noMultiLvlLbl val="0"/>
      </c:catAx>
      <c:valAx>
        <c:axId val="890945808"/>
        <c:scaling>
          <c:orientation val="minMax"/>
          <c:max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a:t>
                </a:r>
                <a:r>
                  <a:rPr lang="en-ZA" baseline="0"/>
                  <a:t> of MSME financing policies that utilize the respective financing vehicle</a:t>
                </a:r>
                <a:endParaRPr lang="en-Z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9438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145820786698327"/>
          <c:y val="3.4461815962555278E-2"/>
          <c:w val="0.47555480742820166"/>
          <c:h val="0.82642740249674251"/>
        </c:manualLayout>
      </c:layout>
      <c:barChart>
        <c:barDir val="bar"/>
        <c:grouping val="clustered"/>
        <c:varyColors val="0"/>
        <c:ser>
          <c:idx val="0"/>
          <c:order val="0"/>
          <c:tx>
            <c:strRef>
              <c:f>'Analytics 3'!$E$155</c:f>
              <c:strCache>
                <c:ptCount val="1"/>
                <c:pt idx="0">
                  <c:v>Lower-middle 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3'!$D$156:$D$163</c:f>
              <c:strCache>
                <c:ptCount val="8"/>
                <c:pt idx="0">
                  <c:v>Trade/supply chain finance</c:v>
                </c:pt>
                <c:pt idx="1">
                  <c:v>Equity investment or incentives</c:v>
                </c:pt>
                <c:pt idx="2">
                  <c:v>Deferral/restructuring of payments</c:v>
                </c:pt>
                <c:pt idx="3">
                  <c:v>MSME procurement</c:v>
                </c:pt>
                <c:pt idx="4">
                  <c:v>Early-stage finance</c:v>
                </c:pt>
                <c:pt idx="5">
                  <c:v>Grants and subsidies</c:v>
                </c:pt>
                <c:pt idx="6">
                  <c:v>Credit guarantee</c:v>
                </c:pt>
                <c:pt idx="7">
                  <c:v>Direct lending</c:v>
                </c:pt>
              </c:strCache>
            </c:strRef>
          </c:cat>
          <c:val>
            <c:numRef>
              <c:f>'Analytics 3'!$E$156:$E$163</c:f>
              <c:numCache>
                <c:formatCode>0%</c:formatCode>
                <c:ptCount val="8"/>
                <c:pt idx="0">
                  <c:v>2.5000000000000001E-2</c:v>
                </c:pt>
                <c:pt idx="1">
                  <c:v>6.6666666666666666E-2</c:v>
                </c:pt>
                <c:pt idx="2">
                  <c:v>1.6666666666666666E-2</c:v>
                </c:pt>
                <c:pt idx="3">
                  <c:v>0.05</c:v>
                </c:pt>
                <c:pt idx="4">
                  <c:v>8.3333333333333329E-2</c:v>
                </c:pt>
                <c:pt idx="5">
                  <c:v>0.17499999999999999</c:v>
                </c:pt>
                <c:pt idx="6">
                  <c:v>0.375</c:v>
                </c:pt>
                <c:pt idx="7">
                  <c:v>0.27500000000000002</c:v>
                </c:pt>
              </c:numCache>
            </c:numRef>
          </c:val>
          <c:extLst>
            <c:ext xmlns:c16="http://schemas.microsoft.com/office/drawing/2014/chart" uri="{C3380CC4-5D6E-409C-BE32-E72D297353CC}">
              <c16:uniqueId val="{00000000-8D09-47FD-8C0F-BB844B166554}"/>
            </c:ext>
          </c:extLst>
        </c:ser>
        <c:ser>
          <c:idx val="1"/>
          <c:order val="1"/>
          <c:tx>
            <c:strRef>
              <c:f>'Analytics 3'!$F$155</c:f>
              <c:strCache>
                <c:ptCount val="1"/>
                <c:pt idx="0">
                  <c:v>All income groups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3'!$D$156:$D$163</c:f>
              <c:strCache>
                <c:ptCount val="8"/>
                <c:pt idx="0">
                  <c:v>Trade/supply chain finance</c:v>
                </c:pt>
                <c:pt idx="1">
                  <c:v>Equity investment or incentives</c:v>
                </c:pt>
                <c:pt idx="2">
                  <c:v>Deferral/restructuring of payments</c:v>
                </c:pt>
                <c:pt idx="3">
                  <c:v>MSME procurement</c:v>
                </c:pt>
                <c:pt idx="4">
                  <c:v>Early-stage finance</c:v>
                </c:pt>
                <c:pt idx="5">
                  <c:v>Grants and subsidies</c:v>
                </c:pt>
                <c:pt idx="6">
                  <c:v>Credit guarantee</c:v>
                </c:pt>
                <c:pt idx="7">
                  <c:v>Direct lending</c:v>
                </c:pt>
              </c:strCache>
            </c:strRef>
          </c:cat>
          <c:val>
            <c:numRef>
              <c:f>'Analytics 3'!$F$156:$F$163</c:f>
              <c:numCache>
                <c:formatCode>0%</c:formatCode>
                <c:ptCount val="8"/>
                <c:pt idx="0">
                  <c:v>2.9787234042553193E-2</c:v>
                </c:pt>
                <c:pt idx="1">
                  <c:v>3.4042553191489362E-2</c:v>
                </c:pt>
                <c:pt idx="2">
                  <c:v>4.6808510638297871E-2</c:v>
                </c:pt>
                <c:pt idx="3">
                  <c:v>4.6808510638297871E-2</c:v>
                </c:pt>
                <c:pt idx="4">
                  <c:v>9.7872340425531917E-2</c:v>
                </c:pt>
                <c:pt idx="5">
                  <c:v>0.20425531914893616</c:v>
                </c:pt>
                <c:pt idx="6">
                  <c:v>0.2978723404255319</c:v>
                </c:pt>
                <c:pt idx="7">
                  <c:v>0.33617021276595743</c:v>
                </c:pt>
              </c:numCache>
            </c:numRef>
          </c:val>
          <c:extLst>
            <c:ext xmlns:c16="http://schemas.microsoft.com/office/drawing/2014/chart" uri="{C3380CC4-5D6E-409C-BE32-E72D297353CC}">
              <c16:uniqueId val="{00000001-8D09-47FD-8C0F-BB844B166554}"/>
            </c:ext>
          </c:extLst>
        </c:ser>
        <c:dLbls>
          <c:dLblPos val="outEnd"/>
          <c:showLegendKey val="0"/>
          <c:showVal val="1"/>
          <c:showCatName val="0"/>
          <c:showSerName val="0"/>
          <c:showPercent val="0"/>
          <c:showBubbleSize val="0"/>
        </c:dLbls>
        <c:gapWidth val="182"/>
        <c:axId val="1225142712"/>
        <c:axId val="1225144024"/>
      </c:barChart>
      <c:catAx>
        <c:axId val="1225142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144024"/>
        <c:crosses val="autoZero"/>
        <c:auto val="1"/>
        <c:lblAlgn val="ctr"/>
        <c:lblOffset val="100"/>
        <c:noMultiLvlLbl val="0"/>
      </c:catAx>
      <c:valAx>
        <c:axId val="1225144024"/>
        <c:scaling>
          <c:orientation val="minMax"/>
          <c:max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 of MSME financing policies that utilize the respective financing vehicle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1427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41981135643345"/>
          <c:y val="3.0365756295351647E-2"/>
          <c:w val="0.58950222000347929"/>
          <c:h val="0.84705787991375869"/>
        </c:manualLayout>
      </c:layout>
      <c:barChart>
        <c:barDir val="bar"/>
        <c:grouping val="clustered"/>
        <c:varyColors val="0"/>
        <c:ser>
          <c:idx val="0"/>
          <c:order val="0"/>
          <c:tx>
            <c:strRef>
              <c:f>'Analytics 3'!$E$176</c:f>
              <c:strCache>
                <c:ptCount val="1"/>
                <c:pt idx="0">
                  <c:v>Covid-19 policies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3'!$D$177:$D$184</c:f>
              <c:strCache>
                <c:ptCount val="8"/>
                <c:pt idx="0">
                  <c:v>Trade/supply chain finance</c:v>
                </c:pt>
                <c:pt idx="1">
                  <c:v>Equity investment or incentives</c:v>
                </c:pt>
                <c:pt idx="2">
                  <c:v>Deferral/restructuring of payments</c:v>
                </c:pt>
                <c:pt idx="3">
                  <c:v>MSME procurement</c:v>
                </c:pt>
                <c:pt idx="4">
                  <c:v>Early-stage finance</c:v>
                </c:pt>
                <c:pt idx="5">
                  <c:v>Grants and subsidies</c:v>
                </c:pt>
                <c:pt idx="6">
                  <c:v>Credit guarantee</c:v>
                </c:pt>
                <c:pt idx="7">
                  <c:v>Direct lending</c:v>
                </c:pt>
              </c:strCache>
            </c:strRef>
          </c:cat>
          <c:val>
            <c:numRef>
              <c:f>'Analytics 3'!$E$177:$E$184</c:f>
              <c:numCache>
                <c:formatCode>0%</c:formatCode>
                <c:ptCount val="8"/>
                <c:pt idx="0">
                  <c:v>0</c:v>
                </c:pt>
                <c:pt idx="1">
                  <c:v>4.878048780487805E-2</c:v>
                </c:pt>
                <c:pt idx="2">
                  <c:v>0.14634146341463414</c:v>
                </c:pt>
                <c:pt idx="3">
                  <c:v>4.878048780487805E-2</c:v>
                </c:pt>
                <c:pt idx="4">
                  <c:v>0</c:v>
                </c:pt>
                <c:pt idx="5">
                  <c:v>0.31707317073170732</c:v>
                </c:pt>
                <c:pt idx="6">
                  <c:v>0.26829268292682928</c:v>
                </c:pt>
                <c:pt idx="7">
                  <c:v>0.36585365853658536</c:v>
                </c:pt>
              </c:numCache>
            </c:numRef>
          </c:val>
          <c:extLst>
            <c:ext xmlns:c16="http://schemas.microsoft.com/office/drawing/2014/chart" uri="{C3380CC4-5D6E-409C-BE32-E72D297353CC}">
              <c16:uniqueId val="{00000000-D4C1-4A37-9E14-18E1D7861D94}"/>
            </c:ext>
          </c:extLst>
        </c:ser>
        <c:ser>
          <c:idx val="1"/>
          <c:order val="1"/>
          <c:tx>
            <c:strRef>
              <c:f>'Analytics 3'!$G$176</c:f>
              <c:strCache>
                <c:ptCount val="1"/>
                <c:pt idx="0">
                  <c:v>All policies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3'!$D$177:$D$184</c:f>
              <c:strCache>
                <c:ptCount val="8"/>
                <c:pt idx="0">
                  <c:v>Trade/supply chain finance</c:v>
                </c:pt>
                <c:pt idx="1">
                  <c:v>Equity investment or incentives</c:v>
                </c:pt>
                <c:pt idx="2">
                  <c:v>Deferral/restructuring of payments</c:v>
                </c:pt>
                <c:pt idx="3">
                  <c:v>MSME procurement</c:v>
                </c:pt>
                <c:pt idx="4">
                  <c:v>Early-stage finance</c:v>
                </c:pt>
                <c:pt idx="5">
                  <c:v>Grants and subsidies</c:v>
                </c:pt>
                <c:pt idx="6">
                  <c:v>Credit guarantee</c:v>
                </c:pt>
                <c:pt idx="7">
                  <c:v>Direct lending</c:v>
                </c:pt>
              </c:strCache>
            </c:strRef>
          </c:cat>
          <c:val>
            <c:numRef>
              <c:f>'Analytics 3'!$G$177:$G$184</c:f>
              <c:numCache>
                <c:formatCode>0%</c:formatCode>
                <c:ptCount val="8"/>
                <c:pt idx="0">
                  <c:v>2.9787234042553193E-2</c:v>
                </c:pt>
                <c:pt idx="1">
                  <c:v>3.4042553191489362E-2</c:v>
                </c:pt>
                <c:pt idx="2">
                  <c:v>4.6808510638297871E-2</c:v>
                </c:pt>
                <c:pt idx="3">
                  <c:v>4.6808510638297871E-2</c:v>
                </c:pt>
                <c:pt idx="4">
                  <c:v>9.7872340425531917E-2</c:v>
                </c:pt>
                <c:pt idx="5">
                  <c:v>0.20425531914893616</c:v>
                </c:pt>
                <c:pt idx="6">
                  <c:v>0.2978723404255319</c:v>
                </c:pt>
                <c:pt idx="7">
                  <c:v>0.33617021276595743</c:v>
                </c:pt>
              </c:numCache>
            </c:numRef>
          </c:val>
          <c:extLst>
            <c:ext xmlns:c16="http://schemas.microsoft.com/office/drawing/2014/chart" uri="{C3380CC4-5D6E-409C-BE32-E72D297353CC}">
              <c16:uniqueId val="{00000001-97A6-462A-BEA6-1FE06619BDC9}"/>
            </c:ext>
          </c:extLst>
        </c:ser>
        <c:dLbls>
          <c:dLblPos val="outEnd"/>
          <c:showLegendKey val="0"/>
          <c:showVal val="1"/>
          <c:showCatName val="0"/>
          <c:showSerName val="0"/>
          <c:showPercent val="0"/>
          <c:showBubbleSize val="0"/>
        </c:dLbls>
        <c:gapWidth val="182"/>
        <c:axId val="1561373728"/>
        <c:axId val="1561364216"/>
      </c:barChart>
      <c:catAx>
        <c:axId val="1561373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1364216"/>
        <c:crosses val="autoZero"/>
        <c:auto val="1"/>
        <c:lblAlgn val="ctr"/>
        <c:lblOffset val="100"/>
        <c:noMultiLvlLbl val="0"/>
      </c:catAx>
      <c:valAx>
        <c:axId val="1561364216"/>
        <c:scaling>
          <c:orientation val="minMax"/>
          <c:max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 of MSME financing policies that utilize the respective financing vehicle</a:t>
                </a:r>
              </a:p>
            </c:rich>
          </c:tx>
          <c:layout>
            <c:manualLayout>
              <c:xMode val="edge"/>
              <c:yMode val="edge"/>
              <c:x val="0.22409738578346036"/>
              <c:y val="0.9390472108172518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1373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Donor-involvement</a:t>
            </a:r>
            <a:r>
              <a:rPr lang="en-ZA" baseline="0"/>
              <a:t> in MSME polciies by financing vehicle</a:t>
            </a:r>
            <a:endParaRPr lang="en-Z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'Analytics 3'!$F$176</c:f>
              <c:strCache>
                <c:ptCount val="1"/>
                <c:pt idx="0">
                  <c:v>Policies with donor-involvement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3'!$D$177:$D$184</c:f>
              <c:strCache>
                <c:ptCount val="8"/>
                <c:pt idx="0">
                  <c:v>Trade/supply chain finance</c:v>
                </c:pt>
                <c:pt idx="1">
                  <c:v>Equity investment or incentives</c:v>
                </c:pt>
                <c:pt idx="2">
                  <c:v>Deferral/restructuring of payments</c:v>
                </c:pt>
                <c:pt idx="3">
                  <c:v>MSME procurement</c:v>
                </c:pt>
                <c:pt idx="4">
                  <c:v>Early-stage finance</c:v>
                </c:pt>
                <c:pt idx="5">
                  <c:v>Grants and subsidies</c:v>
                </c:pt>
                <c:pt idx="6">
                  <c:v>Credit guarantee</c:v>
                </c:pt>
                <c:pt idx="7">
                  <c:v>Direct lending</c:v>
                </c:pt>
              </c:strCache>
            </c:strRef>
          </c:cat>
          <c:val>
            <c:numRef>
              <c:f>'Analytics 3'!$F$177:$F$184</c:f>
              <c:numCache>
                <c:formatCode>0%</c:formatCode>
                <c:ptCount val="8"/>
                <c:pt idx="0">
                  <c:v>2.9411764705882353E-2</c:v>
                </c:pt>
                <c:pt idx="1">
                  <c:v>8.8235294117647065E-2</c:v>
                </c:pt>
                <c:pt idx="2">
                  <c:v>1.9607843137254902E-2</c:v>
                </c:pt>
                <c:pt idx="3">
                  <c:v>3.9215686274509803E-2</c:v>
                </c:pt>
                <c:pt idx="4">
                  <c:v>0.11764705882352941</c:v>
                </c:pt>
                <c:pt idx="5">
                  <c:v>0.23529411764705882</c:v>
                </c:pt>
                <c:pt idx="6">
                  <c:v>0.27450980392156865</c:v>
                </c:pt>
                <c:pt idx="7">
                  <c:v>0.28431372549019607</c:v>
                </c:pt>
              </c:numCache>
            </c:numRef>
          </c:val>
          <c:extLst>
            <c:ext xmlns:c16="http://schemas.microsoft.com/office/drawing/2014/chart" uri="{C3380CC4-5D6E-409C-BE32-E72D297353CC}">
              <c16:uniqueId val="{00000000-6DC8-474B-9857-B0E9FC585196}"/>
            </c:ext>
          </c:extLst>
        </c:ser>
        <c:ser>
          <c:idx val="1"/>
          <c:order val="1"/>
          <c:tx>
            <c:strRef>
              <c:f>'Analytics 3'!$G$176</c:f>
              <c:strCache>
                <c:ptCount val="1"/>
                <c:pt idx="0">
                  <c:v>All policies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3'!$D$177:$D$184</c:f>
              <c:strCache>
                <c:ptCount val="8"/>
                <c:pt idx="0">
                  <c:v>Trade/supply chain finance</c:v>
                </c:pt>
                <c:pt idx="1">
                  <c:v>Equity investment or incentives</c:v>
                </c:pt>
                <c:pt idx="2">
                  <c:v>Deferral/restructuring of payments</c:v>
                </c:pt>
                <c:pt idx="3">
                  <c:v>MSME procurement</c:v>
                </c:pt>
                <c:pt idx="4">
                  <c:v>Early-stage finance</c:v>
                </c:pt>
                <c:pt idx="5">
                  <c:v>Grants and subsidies</c:v>
                </c:pt>
                <c:pt idx="6">
                  <c:v>Credit guarantee</c:v>
                </c:pt>
                <c:pt idx="7">
                  <c:v>Direct lending</c:v>
                </c:pt>
              </c:strCache>
            </c:strRef>
          </c:cat>
          <c:val>
            <c:numRef>
              <c:f>'Analytics 3'!$G$177:$G$184</c:f>
              <c:numCache>
                <c:formatCode>0%</c:formatCode>
                <c:ptCount val="8"/>
                <c:pt idx="0">
                  <c:v>2.9787234042553193E-2</c:v>
                </c:pt>
                <c:pt idx="1">
                  <c:v>3.4042553191489362E-2</c:v>
                </c:pt>
                <c:pt idx="2">
                  <c:v>4.6808510638297871E-2</c:v>
                </c:pt>
                <c:pt idx="3">
                  <c:v>4.6808510638297871E-2</c:v>
                </c:pt>
                <c:pt idx="4">
                  <c:v>9.7872340425531917E-2</c:v>
                </c:pt>
                <c:pt idx="5">
                  <c:v>0.20425531914893616</c:v>
                </c:pt>
                <c:pt idx="6">
                  <c:v>0.2978723404255319</c:v>
                </c:pt>
                <c:pt idx="7">
                  <c:v>0.33617021276595743</c:v>
                </c:pt>
              </c:numCache>
            </c:numRef>
          </c:val>
          <c:extLst>
            <c:ext xmlns:c16="http://schemas.microsoft.com/office/drawing/2014/chart" uri="{C3380CC4-5D6E-409C-BE32-E72D297353CC}">
              <c16:uniqueId val="{00000001-AD2E-4424-A0FE-0AA99816A8E9}"/>
            </c:ext>
          </c:extLst>
        </c:ser>
        <c:dLbls>
          <c:dLblPos val="outEnd"/>
          <c:showLegendKey val="0"/>
          <c:showVal val="1"/>
          <c:showCatName val="0"/>
          <c:showSerName val="0"/>
          <c:showPercent val="0"/>
          <c:showBubbleSize val="0"/>
        </c:dLbls>
        <c:gapWidth val="182"/>
        <c:axId val="1288660400"/>
        <c:axId val="1288660072"/>
      </c:barChart>
      <c:catAx>
        <c:axId val="1288660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8660072"/>
        <c:crosses val="autoZero"/>
        <c:auto val="1"/>
        <c:lblAlgn val="ctr"/>
        <c:lblOffset val="100"/>
        <c:noMultiLvlLbl val="0"/>
      </c:catAx>
      <c:valAx>
        <c:axId val="1288660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 of MSME financing policies that utilize the respective financing vehicle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86604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722731546679561"/>
          <c:y val="0.12207623651809194"/>
          <c:w val="0.59301636041725581"/>
          <c:h val="0.65648680077240507"/>
        </c:manualLayout>
      </c:layout>
      <c:barChart>
        <c:barDir val="bar"/>
        <c:grouping val="clustered"/>
        <c:varyColors val="0"/>
        <c:ser>
          <c:idx val="0"/>
          <c:order val="0"/>
          <c:tx>
            <c:strRef>
              <c:f>'Analytics 3'!$E$79</c:f>
              <c:strCache>
                <c:ptCount val="1"/>
                <c:pt idx="0">
                  <c:v>Middle Africa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3'!$D$80:$D$88</c:f>
              <c:strCache>
                <c:ptCount val="9"/>
                <c:pt idx="0">
                  <c:v>Stock market development</c:v>
                </c:pt>
                <c:pt idx="1">
                  <c:v>Constraint/landscape assessment</c:v>
                </c:pt>
                <c:pt idx="2">
                  <c:v>Collateral registry</c:v>
                </c:pt>
                <c:pt idx="3">
                  <c:v>Payment system infrastructure</c:v>
                </c:pt>
                <c:pt idx="4">
                  <c:v>Incentives to financial institutions</c:v>
                </c:pt>
                <c:pt idx="5">
                  <c:v>Credit information system</c:v>
                </c:pt>
                <c:pt idx="6">
                  <c:v>Capacity building financial institutions</c:v>
                </c:pt>
                <c:pt idx="7">
                  <c:v>Regulatory environment</c:v>
                </c:pt>
                <c:pt idx="8">
                  <c:v>Capacity building MSMEs</c:v>
                </c:pt>
              </c:strCache>
            </c:strRef>
          </c:cat>
          <c:val>
            <c:numRef>
              <c:f>'Analytics 3'!$E$80:$E$88</c:f>
              <c:numCache>
                <c:formatCode>0%</c:formatCode>
                <c:ptCount val="9"/>
                <c:pt idx="0">
                  <c:v>0</c:v>
                </c:pt>
                <c:pt idx="1">
                  <c:v>0.3125</c:v>
                </c:pt>
                <c:pt idx="2">
                  <c:v>0</c:v>
                </c:pt>
                <c:pt idx="3">
                  <c:v>6.25E-2</c:v>
                </c:pt>
                <c:pt idx="4">
                  <c:v>0.1875</c:v>
                </c:pt>
                <c:pt idx="5">
                  <c:v>6.25E-2</c:v>
                </c:pt>
                <c:pt idx="6">
                  <c:v>6.25E-2</c:v>
                </c:pt>
                <c:pt idx="7">
                  <c:v>0.3125</c:v>
                </c:pt>
                <c:pt idx="8">
                  <c:v>0.5625</c:v>
                </c:pt>
              </c:numCache>
            </c:numRef>
          </c:val>
          <c:extLst>
            <c:ext xmlns:c16="http://schemas.microsoft.com/office/drawing/2014/chart" uri="{C3380CC4-5D6E-409C-BE32-E72D297353CC}">
              <c16:uniqueId val="{00000000-F843-4943-A28D-BA2DF666841E}"/>
            </c:ext>
          </c:extLst>
        </c:ser>
        <c:ser>
          <c:idx val="1"/>
          <c:order val="1"/>
          <c:tx>
            <c:strRef>
              <c:f>'Analytics 3'!$F$79</c:f>
              <c:strCache>
                <c:ptCount val="1"/>
                <c:pt idx="0">
                  <c:v>All regions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3'!$D$80:$D$88</c:f>
              <c:strCache>
                <c:ptCount val="9"/>
                <c:pt idx="0">
                  <c:v>Stock market development</c:v>
                </c:pt>
                <c:pt idx="1">
                  <c:v>Constraint/landscape assessment</c:v>
                </c:pt>
                <c:pt idx="2">
                  <c:v>Collateral registry</c:v>
                </c:pt>
                <c:pt idx="3">
                  <c:v>Payment system infrastructure</c:v>
                </c:pt>
                <c:pt idx="4">
                  <c:v>Incentives to financial institutions</c:v>
                </c:pt>
                <c:pt idx="5">
                  <c:v>Credit information system</c:v>
                </c:pt>
                <c:pt idx="6">
                  <c:v>Capacity building financial institutions</c:v>
                </c:pt>
                <c:pt idx="7">
                  <c:v>Regulatory environment</c:v>
                </c:pt>
                <c:pt idx="8">
                  <c:v>Capacity building MSMEs</c:v>
                </c:pt>
              </c:strCache>
            </c:strRef>
          </c:cat>
          <c:val>
            <c:numRef>
              <c:f>'Analytics 3'!$F$80:$F$88</c:f>
              <c:numCache>
                <c:formatCode>0%</c:formatCode>
                <c:ptCount val="9"/>
                <c:pt idx="0">
                  <c:v>5.2631578947368418E-2</c:v>
                </c:pt>
                <c:pt idx="1">
                  <c:v>7.2368421052631582E-2</c:v>
                </c:pt>
                <c:pt idx="2">
                  <c:v>9.8684210526315791E-2</c:v>
                </c:pt>
                <c:pt idx="3">
                  <c:v>0.11842105263157894</c:v>
                </c:pt>
                <c:pt idx="4">
                  <c:v>0.11842105263157894</c:v>
                </c:pt>
                <c:pt idx="5">
                  <c:v>0.15131578947368421</c:v>
                </c:pt>
                <c:pt idx="6">
                  <c:v>0.21052631578947367</c:v>
                </c:pt>
                <c:pt idx="7">
                  <c:v>0.26973684210526316</c:v>
                </c:pt>
                <c:pt idx="8">
                  <c:v>0.70394736842105265</c:v>
                </c:pt>
              </c:numCache>
            </c:numRef>
          </c:val>
          <c:extLst>
            <c:ext xmlns:c16="http://schemas.microsoft.com/office/drawing/2014/chart" uri="{C3380CC4-5D6E-409C-BE32-E72D297353CC}">
              <c16:uniqueId val="{00000001-F843-4943-A28D-BA2DF666841E}"/>
            </c:ext>
          </c:extLst>
        </c:ser>
        <c:dLbls>
          <c:dLblPos val="outEnd"/>
          <c:showLegendKey val="0"/>
          <c:showVal val="1"/>
          <c:showCatName val="0"/>
          <c:showSerName val="0"/>
          <c:showPercent val="0"/>
          <c:showBubbleSize val="0"/>
        </c:dLbls>
        <c:gapWidth val="182"/>
        <c:axId val="2118763391"/>
        <c:axId val="1958187455"/>
      </c:barChart>
      <c:catAx>
        <c:axId val="21187633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8187455"/>
        <c:crosses val="autoZero"/>
        <c:auto val="1"/>
        <c:lblAlgn val="ctr"/>
        <c:lblOffset val="100"/>
        <c:noMultiLvlLbl val="0"/>
      </c:catAx>
      <c:valAx>
        <c:axId val="19581874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MSME financing policies that</a:t>
                </a:r>
                <a:r>
                  <a:rPr lang="en-US" baseline="0"/>
                  <a:t> use the respective enabling infrastructure tool</a:t>
                </a:r>
                <a:endParaRPr lang="en-US"/>
              </a:p>
            </c:rich>
          </c:tx>
          <c:layout>
            <c:manualLayout>
              <c:xMode val="edge"/>
              <c:yMode val="edge"/>
              <c:x val="0.30251591025685604"/>
              <c:y val="0.833209403257446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87633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446162455536525"/>
          <c:y val="9.414254793418507E-2"/>
          <c:w val="0.57803268444581701"/>
          <c:h val="0.67481591138572006"/>
        </c:manualLayout>
      </c:layout>
      <c:barChart>
        <c:barDir val="bar"/>
        <c:grouping val="clustered"/>
        <c:varyColors val="0"/>
        <c:ser>
          <c:idx val="0"/>
          <c:order val="0"/>
          <c:tx>
            <c:strRef>
              <c:f>'Analytics 3'!$I$82</c:f>
              <c:strCache>
                <c:ptCount val="1"/>
                <c:pt idx="0">
                  <c:v>Lower-middle 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3'!$H$83:$H$91</c:f>
              <c:strCache>
                <c:ptCount val="9"/>
                <c:pt idx="0">
                  <c:v>Stock market development</c:v>
                </c:pt>
                <c:pt idx="1">
                  <c:v>Constraint/landscape assessment</c:v>
                </c:pt>
                <c:pt idx="2">
                  <c:v>Collateral registry</c:v>
                </c:pt>
                <c:pt idx="3">
                  <c:v>Payment system infrastructure</c:v>
                </c:pt>
                <c:pt idx="4">
                  <c:v>Incentives to financial institutions</c:v>
                </c:pt>
                <c:pt idx="5">
                  <c:v>Credit information system</c:v>
                </c:pt>
                <c:pt idx="6">
                  <c:v>Capacity building financial institutions</c:v>
                </c:pt>
                <c:pt idx="7">
                  <c:v>Regulatory environment</c:v>
                </c:pt>
                <c:pt idx="8">
                  <c:v>Capacity building MSMEs</c:v>
                </c:pt>
              </c:strCache>
            </c:strRef>
          </c:cat>
          <c:val>
            <c:numRef>
              <c:f>'Analytics 3'!$I$83:$I$91</c:f>
              <c:numCache>
                <c:formatCode>0%</c:formatCode>
                <c:ptCount val="9"/>
                <c:pt idx="0">
                  <c:v>0.05</c:v>
                </c:pt>
                <c:pt idx="1">
                  <c:v>0.1</c:v>
                </c:pt>
                <c:pt idx="2">
                  <c:v>8.7499999999999994E-2</c:v>
                </c:pt>
                <c:pt idx="3">
                  <c:v>0.13750000000000001</c:v>
                </c:pt>
                <c:pt idx="4">
                  <c:v>0.13750000000000001</c:v>
                </c:pt>
                <c:pt idx="5">
                  <c:v>0.2</c:v>
                </c:pt>
                <c:pt idx="6">
                  <c:v>0.23749999999999999</c:v>
                </c:pt>
                <c:pt idx="7">
                  <c:v>0.28749999999999998</c:v>
                </c:pt>
                <c:pt idx="8">
                  <c:v>0.67500000000000004</c:v>
                </c:pt>
              </c:numCache>
            </c:numRef>
          </c:val>
          <c:extLst>
            <c:ext xmlns:c16="http://schemas.microsoft.com/office/drawing/2014/chart" uri="{C3380CC4-5D6E-409C-BE32-E72D297353CC}">
              <c16:uniqueId val="{00000000-CCC8-47BC-B37E-6E91B60D9272}"/>
            </c:ext>
          </c:extLst>
        </c:ser>
        <c:ser>
          <c:idx val="1"/>
          <c:order val="1"/>
          <c:tx>
            <c:strRef>
              <c:f>'Analytics 3'!$J$82</c:f>
              <c:strCache>
                <c:ptCount val="1"/>
                <c:pt idx="0">
                  <c:v>All income groups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3'!$H$83:$H$91</c:f>
              <c:strCache>
                <c:ptCount val="9"/>
                <c:pt idx="0">
                  <c:v>Stock market development</c:v>
                </c:pt>
                <c:pt idx="1">
                  <c:v>Constraint/landscape assessment</c:v>
                </c:pt>
                <c:pt idx="2">
                  <c:v>Collateral registry</c:v>
                </c:pt>
                <c:pt idx="3">
                  <c:v>Payment system infrastructure</c:v>
                </c:pt>
                <c:pt idx="4">
                  <c:v>Incentives to financial institutions</c:v>
                </c:pt>
                <c:pt idx="5">
                  <c:v>Credit information system</c:v>
                </c:pt>
                <c:pt idx="6">
                  <c:v>Capacity building financial institutions</c:v>
                </c:pt>
                <c:pt idx="7">
                  <c:v>Regulatory environment</c:v>
                </c:pt>
                <c:pt idx="8">
                  <c:v>Capacity building MSMEs</c:v>
                </c:pt>
              </c:strCache>
            </c:strRef>
          </c:cat>
          <c:val>
            <c:numRef>
              <c:f>'Analytics 3'!$J$83:$J$91</c:f>
              <c:numCache>
                <c:formatCode>0%</c:formatCode>
                <c:ptCount val="9"/>
                <c:pt idx="0">
                  <c:v>5.2631578947368418E-2</c:v>
                </c:pt>
                <c:pt idx="1">
                  <c:v>7.2368421052631582E-2</c:v>
                </c:pt>
                <c:pt idx="2">
                  <c:v>9.8684210526315791E-2</c:v>
                </c:pt>
                <c:pt idx="3">
                  <c:v>0.11842105263157894</c:v>
                </c:pt>
                <c:pt idx="4">
                  <c:v>0.11842105263157894</c:v>
                </c:pt>
                <c:pt idx="5">
                  <c:v>0.15131578947368421</c:v>
                </c:pt>
                <c:pt idx="6">
                  <c:v>0.21052631578947367</c:v>
                </c:pt>
                <c:pt idx="7">
                  <c:v>0.26973684210526316</c:v>
                </c:pt>
                <c:pt idx="8">
                  <c:v>0.70394736842105265</c:v>
                </c:pt>
              </c:numCache>
            </c:numRef>
          </c:val>
          <c:extLst>
            <c:ext xmlns:c16="http://schemas.microsoft.com/office/drawing/2014/chart" uri="{C3380CC4-5D6E-409C-BE32-E72D297353CC}">
              <c16:uniqueId val="{00000001-CCC8-47BC-B37E-6E91B60D9272}"/>
            </c:ext>
          </c:extLst>
        </c:ser>
        <c:dLbls>
          <c:dLblPos val="outEnd"/>
          <c:showLegendKey val="0"/>
          <c:showVal val="1"/>
          <c:showCatName val="0"/>
          <c:showSerName val="0"/>
          <c:showPercent val="0"/>
          <c:showBubbleSize val="0"/>
        </c:dLbls>
        <c:gapWidth val="182"/>
        <c:axId val="376601839"/>
        <c:axId val="2123787775"/>
      </c:barChart>
      <c:catAx>
        <c:axId val="376601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3787775"/>
        <c:crosses val="autoZero"/>
        <c:auto val="1"/>
        <c:lblAlgn val="ctr"/>
        <c:lblOffset val="100"/>
        <c:noMultiLvlLbl val="0"/>
      </c:catAx>
      <c:valAx>
        <c:axId val="2123787775"/>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000" b="0" i="0" baseline="0">
                    <a:effectLst/>
                  </a:rPr>
                  <a:t>% of MSME financing policies that use the respective enabling infrastructure tool</a:t>
                </a:r>
              </a:p>
            </c:rich>
          </c:tx>
          <c:layout>
            <c:manualLayout>
              <c:xMode val="edge"/>
              <c:yMode val="edge"/>
              <c:x val="0.31071608249728228"/>
              <c:y val="0.84262619407906436"/>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6018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92366930760924"/>
          <c:y val="9.8139750996616024E-2"/>
          <c:w val="0.57590869974649372"/>
          <c:h val="0.66680550011540407"/>
        </c:manualLayout>
      </c:layout>
      <c:barChart>
        <c:barDir val="bar"/>
        <c:grouping val="clustered"/>
        <c:varyColors val="0"/>
        <c:ser>
          <c:idx val="0"/>
          <c:order val="0"/>
          <c:tx>
            <c:strRef>
              <c:f>'Analytics 3'!$M$81</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3'!$L$82:$L$91</c:f>
              <c:strCache>
                <c:ptCount val="10"/>
                <c:pt idx="0">
                  <c:v>Enabling Infrastructure </c:v>
                </c:pt>
                <c:pt idx="1">
                  <c:v>Stock market development</c:v>
                </c:pt>
                <c:pt idx="2">
                  <c:v>Constraint/landscape assessment</c:v>
                </c:pt>
                <c:pt idx="3">
                  <c:v>Collateral registry</c:v>
                </c:pt>
                <c:pt idx="4">
                  <c:v>Payment system infrastructure</c:v>
                </c:pt>
                <c:pt idx="5">
                  <c:v>Incentives to financial institutions</c:v>
                </c:pt>
                <c:pt idx="6">
                  <c:v>Credit information system</c:v>
                </c:pt>
                <c:pt idx="7">
                  <c:v>Capacity building financial institutions</c:v>
                </c:pt>
                <c:pt idx="8">
                  <c:v>Regulatory environment</c:v>
                </c:pt>
                <c:pt idx="9">
                  <c:v>Capacity building MSMEs</c:v>
                </c:pt>
              </c:strCache>
            </c:strRef>
          </c:cat>
          <c:val>
            <c:numRef>
              <c:f>'Analytics 3'!$M$82:$M$91</c:f>
              <c:numCache>
                <c:formatCode>0%</c:formatCode>
                <c:ptCount val="10"/>
                <c:pt idx="0" formatCode="General">
                  <c:v>0</c:v>
                </c:pt>
                <c:pt idx="1">
                  <c:v>7.6923076923076927E-2</c:v>
                </c:pt>
                <c:pt idx="2">
                  <c:v>0.15384615384615385</c:v>
                </c:pt>
                <c:pt idx="3">
                  <c:v>7.6923076923076927E-2</c:v>
                </c:pt>
                <c:pt idx="4">
                  <c:v>0.23076923076923078</c:v>
                </c:pt>
                <c:pt idx="5">
                  <c:v>0</c:v>
                </c:pt>
                <c:pt idx="6">
                  <c:v>0.15384615384615385</c:v>
                </c:pt>
                <c:pt idx="7">
                  <c:v>0.15384615384615385</c:v>
                </c:pt>
                <c:pt idx="8">
                  <c:v>0.15384615384615385</c:v>
                </c:pt>
                <c:pt idx="9">
                  <c:v>0.46153846153846156</c:v>
                </c:pt>
              </c:numCache>
            </c:numRef>
          </c:val>
          <c:extLst>
            <c:ext xmlns:c16="http://schemas.microsoft.com/office/drawing/2014/chart" uri="{C3380CC4-5D6E-409C-BE32-E72D297353CC}">
              <c16:uniqueId val="{00000000-34C5-46A9-9534-76EF979984CF}"/>
            </c:ext>
          </c:extLst>
        </c:ser>
        <c:ser>
          <c:idx val="1"/>
          <c:order val="1"/>
          <c:tx>
            <c:strRef>
              <c:f>'Analytics 3'!$N$81</c:f>
              <c:strCache>
                <c:ptCount val="1"/>
              </c:strCache>
            </c:strRef>
          </c:tx>
          <c:spPr>
            <a:solidFill>
              <a:schemeClr val="bg1">
                <a:lumMod val="50000"/>
              </a:schemeClr>
            </a:solidFill>
            <a:ln>
              <a:noFill/>
            </a:ln>
            <a:effectLst/>
          </c:spPr>
          <c:invertIfNegative val="0"/>
          <c:dLbls>
            <c:delete val="1"/>
          </c:dLbls>
          <c:cat>
            <c:strRef>
              <c:f>'Analytics 3'!$L$82:$L$91</c:f>
              <c:strCache>
                <c:ptCount val="10"/>
                <c:pt idx="0">
                  <c:v>Enabling Infrastructure </c:v>
                </c:pt>
                <c:pt idx="1">
                  <c:v>Stock market development</c:v>
                </c:pt>
                <c:pt idx="2">
                  <c:v>Constraint/landscape assessment</c:v>
                </c:pt>
                <c:pt idx="3">
                  <c:v>Collateral registry</c:v>
                </c:pt>
                <c:pt idx="4">
                  <c:v>Payment system infrastructure</c:v>
                </c:pt>
                <c:pt idx="5">
                  <c:v>Incentives to financial institutions</c:v>
                </c:pt>
                <c:pt idx="6">
                  <c:v>Credit information system</c:v>
                </c:pt>
                <c:pt idx="7">
                  <c:v>Capacity building financial institutions</c:v>
                </c:pt>
                <c:pt idx="8">
                  <c:v>Regulatory environment</c:v>
                </c:pt>
                <c:pt idx="9">
                  <c:v>Capacity building MSMEs</c:v>
                </c:pt>
              </c:strCache>
            </c:strRef>
          </c:cat>
          <c:val>
            <c:numRef>
              <c:f>'Analytics 3'!$N$82:$N$91</c:f>
              <c:numCache>
                <c:formatCode>0%</c:formatCode>
                <c:ptCount val="10"/>
                <c:pt idx="0" formatCode="General">
                  <c:v>0</c:v>
                </c:pt>
                <c:pt idx="1">
                  <c:v>5.2631578947368418E-2</c:v>
                </c:pt>
                <c:pt idx="2">
                  <c:v>7.2368421052631582E-2</c:v>
                </c:pt>
                <c:pt idx="3">
                  <c:v>9.8684210526315791E-2</c:v>
                </c:pt>
                <c:pt idx="4">
                  <c:v>0.11842105263157894</c:v>
                </c:pt>
                <c:pt idx="5">
                  <c:v>0.11842105263157894</c:v>
                </c:pt>
                <c:pt idx="6">
                  <c:v>0.15131578947368421</c:v>
                </c:pt>
                <c:pt idx="7">
                  <c:v>0.21052631578947367</c:v>
                </c:pt>
                <c:pt idx="8">
                  <c:v>0.26973684210526316</c:v>
                </c:pt>
                <c:pt idx="9">
                  <c:v>0.70394736842105265</c:v>
                </c:pt>
              </c:numCache>
            </c:numRef>
          </c:val>
          <c:extLst>
            <c:ext xmlns:c16="http://schemas.microsoft.com/office/drawing/2014/chart" uri="{C3380CC4-5D6E-409C-BE32-E72D297353CC}">
              <c16:uniqueId val="{00000001-34C5-46A9-9534-76EF979984CF}"/>
            </c:ext>
          </c:extLst>
        </c:ser>
        <c:dLbls>
          <c:dLblPos val="outEnd"/>
          <c:showLegendKey val="0"/>
          <c:showVal val="1"/>
          <c:showCatName val="0"/>
          <c:showSerName val="0"/>
          <c:showPercent val="0"/>
          <c:showBubbleSize val="0"/>
        </c:dLbls>
        <c:gapWidth val="182"/>
        <c:axId val="379798671"/>
        <c:axId val="1813575743"/>
      </c:barChart>
      <c:catAx>
        <c:axId val="3797986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3575743"/>
        <c:crosses val="autoZero"/>
        <c:auto val="1"/>
        <c:lblAlgn val="ctr"/>
        <c:lblOffset val="100"/>
        <c:noMultiLvlLbl val="0"/>
      </c:catAx>
      <c:valAx>
        <c:axId val="181357574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MSME financing policies that use the respective enabling infrastructure tool</a:t>
                </a:r>
              </a:p>
            </c:rich>
          </c:tx>
          <c:layout>
            <c:manualLayout>
              <c:xMode val="edge"/>
              <c:yMode val="edge"/>
              <c:x val="0.20533977356197525"/>
              <c:y val="0.8529819801702919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7986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11036577852667"/>
          <c:y val="9.8363820804024227E-2"/>
          <c:w val="0.61876559019508826"/>
          <c:h val="0.69194177137236967"/>
        </c:manualLayout>
      </c:layout>
      <c:barChart>
        <c:barDir val="bar"/>
        <c:grouping val="clustered"/>
        <c:varyColors val="0"/>
        <c:ser>
          <c:idx val="0"/>
          <c:order val="0"/>
          <c:tx>
            <c:strRef>
              <c:f>'Analytics 3'!$Q$81</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3'!$P$82:$P$91</c:f>
              <c:strCache>
                <c:ptCount val="10"/>
                <c:pt idx="0">
                  <c:v>Enabling Infrastructure </c:v>
                </c:pt>
                <c:pt idx="1">
                  <c:v>Stock market development</c:v>
                </c:pt>
                <c:pt idx="2">
                  <c:v>Constraint/landscape assessment</c:v>
                </c:pt>
                <c:pt idx="3">
                  <c:v>Collateral registry</c:v>
                </c:pt>
                <c:pt idx="4">
                  <c:v>Payment system infrastructure</c:v>
                </c:pt>
                <c:pt idx="5">
                  <c:v>Incentives to financial institutions</c:v>
                </c:pt>
                <c:pt idx="6">
                  <c:v>Credit information system</c:v>
                </c:pt>
                <c:pt idx="7">
                  <c:v>Capacity building financial institutions</c:v>
                </c:pt>
                <c:pt idx="8">
                  <c:v>Regulatory environment</c:v>
                </c:pt>
                <c:pt idx="9">
                  <c:v>Capacity building MSMEs</c:v>
                </c:pt>
              </c:strCache>
            </c:strRef>
          </c:cat>
          <c:val>
            <c:numRef>
              <c:f>'Analytics 3'!$Q$82:$Q$91</c:f>
              <c:numCache>
                <c:formatCode>0%</c:formatCode>
                <c:ptCount val="10"/>
                <c:pt idx="0" formatCode="General">
                  <c:v>0</c:v>
                </c:pt>
                <c:pt idx="1">
                  <c:v>2.6666666666666668E-2</c:v>
                </c:pt>
                <c:pt idx="2">
                  <c:v>9.3333333333333338E-2</c:v>
                </c:pt>
                <c:pt idx="3">
                  <c:v>0.10666666666666667</c:v>
                </c:pt>
                <c:pt idx="4">
                  <c:v>0.12</c:v>
                </c:pt>
                <c:pt idx="5">
                  <c:v>9.3333333333333338E-2</c:v>
                </c:pt>
                <c:pt idx="6">
                  <c:v>0.17333333333333334</c:v>
                </c:pt>
                <c:pt idx="7">
                  <c:v>0.28000000000000003</c:v>
                </c:pt>
                <c:pt idx="8">
                  <c:v>0.24</c:v>
                </c:pt>
                <c:pt idx="9">
                  <c:v>0.66666666666666663</c:v>
                </c:pt>
              </c:numCache>
            </c:numRef>
          </c:val>
          <c:extLst>
            <c:ext xmlns:c16="http://schemas.microsoft.com/office/drawing/2014/chart" uri="{C3380CC4-5D6E-409C-BE32-E72D297353CC}">
              <c16:uniqueId val="{00000000-1AD0-4E46-A4BE-A3EFE328BF4C}"/>
            </c:ext>
          </c:extLst>
        </c:ser>
        <c:ser>
          <c:idx val="1"/>
          <c:order val="1"/>
          <c:tx>
            <c:strRef>
              <c:f>'Analytics 3'!$R$81</c:f>
              <c:strCache>
                <c:ptCount val="1"/>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3'!$P$82:$P$91</c:f>
              <c:strCache>
                <c:ptCount val="10"/>
                <c:pt idx="0">
                  <c:v>Enabling Infrastructure </c:v>
                </c:pt>
                <c:pt idx="1">
                  <c:v>Stock market development</c:v>
                </c:pt>
                <c:pt idx="2">
                  <c:v>Constraint/landscape assessment</c:v>
                </c:pt>
                <c:pt idx="3">
                  <c:v>Collateral registry</c:v>
                </c:pt>
                <c:pt idx="4">
                  <c:v>Payment system infrastructure</c:v>
                </c:pt>
                <c:pt idx="5">
                  <c:v>Incentives to financial institutions</c:v>
                </c:pt>
                <c:pt idx="6">
                  <c:v>Credit information system</c:v>
                </c:pt>
                <c:pt idx="7">
                  <c:v>Capacity building financial institutions</c:v>
                </c:pt>
                <c:pt idx="8">
                  <c:v>Regulatory environment</c:v>
                </c:pt>
                <c:pt idx="9">
                  <c:v>Capacity building MSMEs</c:v>
                </c:pt>
              </c:strCache>
            </c:strRef>
          </c:cat>
          <c:val>
            <c:numRef>
              <c:f>'Analytics 3'!$R$82:$R$91</c:f>
              <c:numCache>
                <c:formatCode>0%</c:formatCode>
                <c:ptCount val="10"/>
                <c:pt idx="0" formatCode="General">
                  <c:v>0</c:v>
                </c:pt>
                <c:pt idx="1">
                  <c:v>5.2631578947368418E-2</c:v>
                </c:pt>
                <c:pt idx="2">
                  <c:v>7.2368421052631582E-2</c:v>
                </c:pt>
                <c:pt idx="3">
                  <c:v>9.8684210526315791E-2</c:v>
                </c:pt>
                <c:pt idx="4">
                  <c:v>0.11842105263157894</c:v>
                </c:pt>
                <c:pt idx="5">
                  <c:v>0.11842105263157894</c:v>
                </c:pt>
                <c:pt idx="6">
                  <c:v>0.15131578947368421</c:v>
                </c:pt>
                <c:pt idx="7">
                  <c:v>0.21052631578947367</c:v>
                </c:pt>
                <c:pt idx="8">
                  <c:v>0.26973684210526316</c:v>
                </c:pt>
                <c:pt idx="9">
                  <c:v>0.70394736842105265</c:v>
                </c:pt>
              </c:numCache>
            </c:numRef>
          </c:val>
          <c:extLst>
            <c:ext xmlns:c16="http://schemas.microsoft.com/office/drawing/2014/chart" uri="{C3380CC4-5D6E-409C-BE32-E72D297353CC}">
              <c16:uniqueId val="{00000001-1AD0-4E46-A4BE-A3EFE328BF4C}"/>
            </c:ext>
          </c:extLst>
        </c:ser>
        <c:dLbls>
          <c:dLblPos val="outEnd"/>
          <c:showLegendKey val="0"/>
          <c:showVal val="1"/>
          <c:showCatName val="0"/>
          <c:showSerName val="0"/>
          <c:showPercent val="0"/>
          <c:showBubbleSize val="0"/>
        </c:dLbls>
        <c:gapWidth val="182"/>
        <c:axId val="379795471"/>
        <c:axId val="1813574495"/>
      </c:barChart>
      <c:catAx>
        <c:axId val="3797954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3574495"/>
        <c:crosses val="autoZero"/>
        <c:auto val="1"/>
        <c:lblAlgn val="ctr"/>
        <c:lblOffset val="100"/>
        <c:noMultiLvlLbl val="0"/>
      </c:catAx>
      <c:valAx>
        <c:axId val="18135744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MSME financing policies that use the respective enabling infrastructure tool</a:t>
                </a:r>
              </a:p>
            </c:rich>
          </c:tx>
          <c:layout>
            <c:manualLayout>
              <c:xMode val="edge"/>
              <c:yMode val="edge"/>
              <c:x val="0.23473739880824723"/>
              <c:y val="0.86370122577668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7954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'Analytics 3'!$E$203</c:f>
              <c:strCache>
                <c:ptCount val="1"/>
                <c:pt idx="0">
                  <c:v>Northern Africa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3'!$D$204:$D$205</c:f>
              <c:strCache>
                <c:ptCount val="2"/>
                <c:pt idx="0">
                  <c:v>% of policies with numerical targets</c:v>
                </c:pt>
                <c:pt idx="1">
                  <c:v>% of policies with evaluation frameworks</c:v>
                </c:pt>
              </c:strCache>
            </c:strRef>
          </c:cat>
          <c:val>
            <c:numRef>
              <c:f>'Analytics 3'!$E$204:$E$205</c:f>
              <c:numCache>
                <c:formatCode>0%</c:formatCode>
                <c:ptCount val="2"/>
                <c:pt idx="0">
                  <c:v>0.47368421052631576</c:v>
                </c:pt>
                <c:pt idx="1">
                  <c:v>0.7</c:v>
                </c:pt>
              </c:numCache>
            </c:numRef>
          </c:val>
          <c:extLst>
            <c:ext xmlns:c16="http://schemas.microsoft.com/office/drawing/2014/chart" uri="{C3380CC4-5D6E-409C-BE32-E72D297353CC}">
              <c16:uniqueId val="{00000000-2DC0-44FE-899A-5501E280042D}"/>
            </c:ext>
          </c:extLst>
        </c:ser>
        <c:ser>
          <c:idx val="1"/>
          <c:order val="1"/>
          <c:tx>
            <c:strRef>
              <c:f>'Analytics 3'!$F$203</c:f>
              <c:strCache>
                <c:ptCount val="1"/>
                <c:pt idx="0">
                  <c:v>All regions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3'!$D$204:$D$205</c:f>
              <c:strCache>
                <c:ptCount val="2"/>
                <c:pt idx="0">
                  <c:v>% of policies with numerical targets</c:v>
                </c:pt>
                <c:pt idx="1">
                  <c:v>% of policies with evaluation frameworks</c:v>
                </c:pt>
              </c:strCache>
            </c:strRef>
          </c:cat>
          <c:val>
            <c:numRef>
              <c:f>'Analytics 3'!$F$204:$F$205</c:f>
              <c:numCache>
                <c:formatCode>0%</c:formatCode>
                <c:ptCount val="2"/>
                <c:pt idx="0">
                  <c:v>0.38650306748466257</c:v>
                </c:pt>
                <c:pt idx="1">
                  <c:v>0.61290322580645162</c:v>
                </c:pt>
              </c:numCache>
            </c:numRef>
          </c:val>
          <c:extLst>
            <c:ext xmlns:c16="http://schemas.microsoft.com/office/drawing/2014/chart" uri="{C3380CC4-5D6E-409C-BE32-E72D297353CC}">
              <c16:uniqueId val="{00000001-2DC0-44FE-899A-5501E280042D}"/>
            </c:ext>
          </c:extLst>
        </c:ser>
        <c:dLbls>
          <c:dLblPos val="outEnd"/>
          <c:showLegendKey val="0"/>
          <c:showVal val="1"/>
          <c:showCatName val="0"/>
          <c:showSerName val="0"/>
          <c:showPercent val="0"/>
          <c:showBubbleSize val="0"/>
        </c:dLbls>
        <c:gapWidth val="182"/>
        <c:axId val="1270050616"/>
        <c:axId val="1270047008"/>
      </c:barChart>
      <c:catAx>
        <c:axId val="1270050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0047008"/>
        <c:crosses val="autoZero"/>
        <c:auto val="1"/>
        <c:lblAlgn val="ctr"/>
        <c:lblOffset val="100"/>
        <c:noMultiLvlLbl val="0"/>
      </c:catAx>
      <c:valAx>
        <c:axId val="127004700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0050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'Analytics 3'!$E$93</c:f>
              <c:strCache>
                <c:ptCount val="1"/>
                <c:pt idx="0">
                  <c:v>Western Africa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3'!$D$94:$D$97</c:f>
              <c:strCache>
                <c:ptCount val="4"/>
                <c:pt idx="0">
                  <c:v>Overarching framework</c:v>
                </c:pt>
                <c:pt idx="1">
                  <c:v>Roadmap</c:v>
                </c:pt>
                <c:pt idx="2">
                  <c:v>Implementing agency</c:v>
                </c:pt>
                <c:pt idx="3">
                  <c:v>Intervention</c:v>
                </c:pt>
              </c:strCache>
            </c:strRef>
          </c:cat>
          <c:val>
            <c:numRef>
              <c:f>'Analytics 3'!$E$94:$E$97</c:f>
              <c:numCache>
                <c:formatCode>0%</c:formatCode>
                <c:ptCount val="4"/>
                <c:pt idx="0">
                  <c:v>6.3492063492063489E-2</c:v>
                </c:pt>
                <c:pt idx="1">
                  <c:v>0.14285714285714285</c:v>
                </c:pt>
                <c:pt idx="2">
                  <c:v>0.26984126984126983</c:v>
                </c:pt>
                <c:pt idx="3">
                  <c:v>0.52380952380952384</c:v>
                </c:pt>
              </c:numCache>
            </c:numRef>
          </c:val>
          <c:extLst>
            <c:ext xmlns:c16="http://schemas.microsoft.com/office/drawing/2014/chart" uri="{C3380CC4-5D6E-409C-BE32-E72D297353CC}">
              <c16:uniqueId val="{00000000-7310-43FC-B0AD-489B64A90CDA}"/>
            </c:ext>
          </c:extLst>
        </c:ser>
        <c:ser>
          <c:idx val="1"/>
          <c:order val="1"/>
          <c:tx>
            <c:strRef>
              <c:f>'Analytics 3'!$F$93</c:f>
              <c:strCache>
                <c:ptCount val="1"/>
                <c:pt idx="0">
                  <c:v>All regions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3'!$D$94:$D$97</c:f>
              <c:strCache>
                <c:ptCount val="4"/>
                <c:pt idx="0">
                  <c:v>Overarching framework</c:v>
                </c:pt>
                <c:pt idx="1">
                  <c:v>Roadmap</c:v>
                </c:pt>
                <c:pt idx="2">
                  <c:v>Implementing agency</c:v>
                </c:pt>
                <c:pt idx="3">
                  <c:v>Intervention</c:v>
                </c:pt>
              </c:strCache>
            </c:strRef>
          </c:cat>
          <c:val>
            <c:numRef>
              <c:f>'Analytics 3'!$F$94:$F$97</c:f>
              <c:numCache>
                <c:formatCode>0%</c:formatCode>
                <c:ptCount val="4"/>
                <c:pt idx="0">
                  <c:v>6.1728395061728392E-2</c:v>
                </c:pt>
                <c:pt idx="1">
                  <c:v>0.15637860082304528</c:v>
                </c:pt>
                <c:pt idx="2">
                  <c:v>0.22633744855967078</c:v>
                </c:pt>
                <c:pt idx="3">
                  <c:v>0.55555555555555558</c:v>
                </c:pt>
              </c:numCache>
            </c:numRef>
          </c:val>
          <c:extLst>
            <c:ext xmlns:c16="http://schemas.microsoft.com/office/drawing/2014/chart" uri="{C3380CC4-5D6E-409C-BE32-E72D297353CC}">
              <c16:uniqueId val="{00000001-7310-43FC-B0AD-489B64A90CDA}"/>
            </c:ext>
          </c:extLst>
        </c:ser>
        <c:dLbls>
          <c:dLblPos val="outEnd"/>
          <c:showLegendKey val="0"/>
          <c:showVal val="1"/>
          <c:showCatName val="0"/>
          <c:showSerName val="0"/>
          <c:showPercent val="0"/>
          <c:showBubbleSize val="0"/>
        </c:dLbls>
        <c:gapWidth val="182"/>
        <c:axId val="2120932047"/>
        <c:axId val="1709749935"/>
      </c:barChart>
      <c:catAx>
        <c:axId val="21209320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749935"/>
        <c:crosses val="autoZero"/>
        <c:auto val="1"/>
        <c:lblAlgn val="ctr"/>
        <c:lblOffset val="100"/>
        <c:noMultiLvlLbl val="0"/>
      </c:catAx>
      <c:valAx>
        <c:axId val="17097499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policies that are the respective policy type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932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2020725388604"/>
          <c:y val="9.0036523584739764E-2"/>
          <c:w val="0.61454666612269326"/>
          <c:h val="0.74664410415911653"/>
        </c:manualLayout>
      </c:layout>
      <c:barChart>
        <c:barDir val="bar"/>
        <c:grouping val="clustered"/>
        <c:varyColors val="0"/>
        <c:ser>
          <c:idx val="0"/>
          <c:order val="0"/>
          <c:tx>
            <c:strRef>
              <c:f>'Analytics 3'!$E$10</c:f>
              <c:strCache>
                <c:ptCount val="1"/>
                <c:pt idx="0">
                  <c:v>Middle Africa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3'!$D$11:$D$20</c:f>
              <c:strCache>
                <c:ptCount val="10"/>
                <c:pt idx="0">
                  <c:v>Other</c:v>
                </c:pt>
                <c:pt idx="1">
                  <c:v>Urban livelihoods</c:v>
                </c:pt>
                <c:pt idx="2">
                  <c:v>Migrants</c:v>
                </c:pt>
                <c:pt idx="3">
                  <c:v>Adversely affected businesses by the COVID-19 crisis</c:v>
                </c:pt>
                <c:pt idx="4">
                  <c:v>People with disabilities</c:v>
                </c:pt>
                <c:pt idx="5">
                  <c:v>Start ups</c:v>
                </c:pt>
                <c:pt idx="6">
                  <c:v>Rural livelihoods</c:v>
                </c:pt>
                <c:pt idx="7">
                  <c:v>Micro enterprises</c:v>
                </c:pt>
                <c:pt idx="8">
                  <c:v>Youth</c:v>
                </c:pt>
                <c:pt idx="9">
                  <c:v>Women</c:v>
                </c:pt>
              </c:strCache>
            </c:strRef>
          </c:cat>
          <c:val>
            <c:numRef>
              <c:f>'Analytics 3'!$E$11:$E$20</c:f>
              <c:numCache>
                <c:formatCode>0%</c:formatCode>
                <c:ptCount val="10"/>
                <c:pt idx="0">
                  <c:v>0</c:v>
                </c:pt>
                <c:pt idx="1">
                  <c:v>0</c:v>
                </c:pt>
                <c:pt idx="2">
                  <c:v>0</c:v>
                </c:pt>
                <c:pt idx="3">
                  <c:v>9.0909090909090912E-2</c:v>
                </c:pt>
                <c:pt idx="4">
                  <c:v>0</c:v>
                </c:pt>
                <c:pt idx="5">
                  <c:v>0.18181818181818182</c:v>
                </c:pt>
                <c:pt idx="6">
                  <c:v>9.0909090909090912E-2</c:v>
                </c:pt>
                <c:pt idx="7">
                  <c:v>0.18181818181818182</c:v>
                </c:pt>
                <c:pt idx="8">
                  <c:v>0.45454545454545453</c:v>
                </c:pt>
                <c:pt idx="9">
                  <c:v>0.36363636363636365</c:v>
                </c:pt>
              </c:numCache>
            </c:numRef>
          </c:val>
          <c:extLst>
            <c:ext xmlns:c16="http://schemas.microsoft.com/office/drawing/2014/chart" uri="{C3380CC4-5D6E-409C-BE32-E72D297353CC}">
              <c16:uniqueId val="{00000000-D94A-402E-8DBD-1E2DFD740CA3}"/>
            </c:ext>
          </c:extLst>
        </c:ser>
        <c:ser>
          <c:idx val="1"/>
          <c:order val="1"/>
          <c:tx>
            <c:strRef>
              <c:f>'Analytics 3'!$F$10</c:f>
              <c:strCache>
                <c:ptCount val="1"/>
                <c:pt idx="0">
                  <c:v>All regions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3'!$D$11:$D$20</c:f>
              <c:strCache>
                <c:ptCount val="10"/>
                <c:pt idx="0">
                  <c:v>Other</c:v>
                </c:pt>
                <c:pt idx="1">
                  <c:v>Urban livelihoods</c:v>
                </c:pt>
                <c:pt idx="2">
                  <c:v>Migrants</c:v>
                </c:pt>
                <c:pt idx="3">
                  <c:v>Adversely affected businesses by the COVID-19 crisis</c:v>
                </c:pt>
                <c:pt idx="4">
                  <c:v>People with disabilities</c:v>
                </c:pt>
                <c:pt idx="5">
                  <c:v>Start ups</c:v>
                </c:pt>
                <c:pt idx="6">
                  <c:v>Rural livelihoods</c:v>
                </c:pt>
                <c:pt idx="7">
                  <c:v>Micro enterprises</c:v>
                </c:pt>
                <c:pt idx="8">
                  <c:v>Youth</c:v>
                </c:pt>
                <c:pt idx="9">
                  <c:v>Women</c:v>
                </c:pt>
              </c:strCache>
            </c:strRef>
          </c:cat>
          <c:val>
            <c:numRef>
              <c:f>'Analytics 3'!$F$11:$F$20</c:f>
              <c:numCache>
                <c:formatCode>0%</c:formatCode>
                <c:ptCount val="10"/>
                <c:pt idx="0">
                  <c:v>7.6335877862595417E-3</c:v>
                </c:pt>
                <c:pt idx="1">
                  <c:v>1.5267175572519083E-2</c:v>
                </c:pt>
                <c:pt idx="2">
                  <c:v>1.5267175572519083E-2</c:v>
                </c:pt>
                <c:pt idx="3">
                  <c:v>0.11450381679389313</c:v>
                </c:pt>
                <c:pt idx="4">
                  <c:v>0.12213740458015267</c:v>
                </c:pt>
                <c:pt idx="5">
                  <c:v>0.12977099236641221</c:v>
                </c:pt>
                <c:pt idx="6">
                  <c:v>0.20610687022900764</c:v>
                </c:pt>
                <c:pt idx="7">
                  <c:v>0.31297709923664124</c:v>
                </c:pt>
                <c:pt idx="8">
                  <c:v>0.47328244274809161</c:v>
                </c:pt>
                <c:pt idx="9">
                  <c:v>0.48091603053435117</c:v>
                </c:pt>
              </c:numCache>
            </c:numRef>
          </c:val>
          <c:extLst>
            <c:ext xmlns:c16="http://schemas.microsoft.com/office/drawing/2014/chart" uri="{C3380CC4-5D6E-409C-BE32-E72D297353CC}">
              <c16:uniqueId val="{00000001-D94A-402E-8DBD-1E2DFD740CA3}"/>
            </c:ext>
          </c:extLst>
        </c:ser>
        <c:dLbls>
          <c:dLblPos val="outEnd"/>
          <c:showLegendKey val="0"/>
          <c:showVal val="1"/>
          <c:showCatName val="0"/>
          <c:showSerName val="0"/>
          <c:showPercent val="0"/>
          <c:showBubbleSize val="0"/>
        </c:dLbls>
        <c:gapWidth val="182"/>
        <c:axId val="859269944"/>
        <c:axId val="859268304"/>
      </c:barChart>
      <c:catAx>
        <c:axId val="859269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268304"/>
        <c:crosses val="autoZero"/>
        <c:auto val="1"/>
        <c:lblAlgn val="ctr"/>
        <c:lblOffset val="100"/>
        <c:noMultiLvlLbl val="0"/>
      </c:catAx>
      <c:valAx>
        <c:axId val="859268304"/>
        <c:scaling>
          <c:orientation val="minMax"/>
          <c:max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 of policies</a:t>
                </a:r>
                <a:r>
                  <a:rPr lang="en-ZA" baseline="0"/>
                  <a:t> that target the specific group</a:t>
                </a:r>
                <a:endParaRPr lang="en-ZA"/>
              </a:p>
            </c:rich>
          </c:tx>
          <c:layout>
            <c:manualLayout>
              <c:xMode val="edge"/>
              <c:yMode val="edge"/>
              <c:x val="0.32898991198209926"/>
              <c:y val="0.887275866431107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2699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'Analytics 3'!$I$96</c:f>
              <c:strCache>
                <c:ptCount val="1"/>
                <c:pt idx="0">
                  <c:v>Lower-middle 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3'!$H$97:$H$100</c:f>
              <c:strCache>
                <c:ptCount val="4"/>
                <c:pt idx="0">
                  <c:v>Overarching framework</c:v>
                </c:pt>
                <c:pt idx="1">
                  <c:v>Roadmap</c:v>
                </c:pt>
                <c:pt idx="2">
                  <c:v>Implementing agency</c:v>
                </c:pt>
                <c:pt idx="3">
                  <c:v>Intervention</c:v>
                </c:pt>
              </c:strCache>
            </c:strRef>
          </c:cat>
          <c:val>
            <c:numRef>
              <c:f>'Analytics 3'!$I$97:$I$100</c:f>
              <c:numCache>
                <c:formatCode>0%</c:formatCode>
                <c:ptCount val="4"/>
                <c:pt idx="0">
                  <c:v>2.4390243902439025E-2</c:v>
                </c:pt>
                <c:pt idx="1">
                  <c:v>0.17886178861788618</c:v>
                </c:pt>
                <c:pt idx="2">
                  <c:v>0.25203252032520324</c:v>
                </c:pt>
                <c:pt idx="3">
                  <c:v>0.54471544715447151</c:v>
                </c:pt>
              </c:numCache>
            </c:numRef>
          </c:val>
          <c:extLst>
            <c:ext xmlns:c16="http://schemas.microsoft.com/office/drawing/2014/chart" uri="{C3380CC4-5D6E-409C-BE32-E72D297353CC}">
              <c16:uniqueId val="{00000000-586E-4EE0-9BC5-BB7D3D478EE1}"/>
            </c:ext>
          </c:extLst>
        </c:ser>
        <c:ser>
          <c:idx val="1"/>
          <c:order val="1"/>
          <c:tx>
            <c:strRef>
              <c:f>'Analytics 3'!$J$96</c:f>
              <c:strCache>
                <c:ptCount val="1"/>
                <c:pt idx="0">
                  <c:v>All income groups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3'!$H$97:$H$100</c:f>
              <c:strCache>
                <c:ptCount val="4"/>
                <c:pt idx="0">
                  <c:v>Overarching framework</c:v>
                </c:pt>
                <c:pt idx="1">
                  <c:v>Roadmap</c:v>
                </c:pt>
                <c:pt idx="2">
                  <c:v>Implementing agency</c:v>
                </c:pt>
                <c:pt idx="3">
                  <c:v>Intervention</c:v>
                </c:pt>
              </c:strCache>
            </c:strRef>
          </c:cat>
          <c:val>
            <c:numRef>
              <c:f>'Analytics 3'!$J$97:$J$100</c:f>
              <c:numCache>
                <c:formatCode>0%</c:formatCode>
                <c:ptCount val="4"/>
                <c:pt idx="0">
                  <c:v>6.1728395061728392E-2</c:v>
                </c:pt>
                <c:pt idx="1">
                  <c:v>0.15637860082304528</c:v>
                </c:pt>
                <c:pt idx="2">
                  <c:v>0.22633744855967078</c:v>
                </c:pt>
                <c:pt idx="3">
                  <c:v>0.55555555555555558</c:v>
                </c:pt>
              </c:numCache>
            </c:numRef>
          </c:val>
          <c:extLst>
            <c:ext xmlns:c16="http://schemas.microsoft.com/office/drawing/2014/chart" uri="{C3380CC4-5D6E-409C-BE32-E72D297353CC}">
              <c16:uniqueId val="{00000001-586E-4EE0-9BC5-BB7D3D478EE1}"/>
            </c:ext>
          </c:extLst>
        </c:ser>
        <c:dLbls>
          <c:dLblPos val="outEnd"/>
          <c:showLegendKey val="0"/>
          <c:showVal val="1"/>
          <c:showCatName val="0"/>
          <c:showSerName val="0"/>
          <c:showPercent val="0"/>
          <c:showBubbleSize val="0"/>
        </c:dLbls>
        <c:gapWidth val="182"/>
        <c:axId val="386785295"/>
        <c:axId val="2128947167"/>
      </c:barChart>
      <c:catAx>
        <c:axId val="3867852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8947167"/>
        <c:crosses val="autoZero"/>
        <c:auto val="1"/>
        <c:lblAlgn val="ctr"/>
        <c:lblOffset val="100"/>
        <c:noMultiLvlLbl val="0"/>
      </c:catAx>
      <c:valAx>
        <c:axId val="21289471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policies that are the respective policy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6785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'Analytics 3'!$M$96</c:f>
              <c:strCache>
                <c:ptCount val="1"/>
                <c:pt idx="0">
                  <c:v>COVID-19 policies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3'!$L$97:$L$100</c:f>
              <c:strCache>
                <c:ptCount val="4"/>
                <c:pt idx="0">
                  <c:v>Overarching framework</c:v>
                </c:pt>
                <c:pt idx="1">
                  <c:v>Roadmap</c:v>
                </c:pt>
                <c:pt idx="2">
                  <c:v>Implementing agency</c:v>
                </c:pt>
                <c:pt idx="3">
                  <c:v>Intervention</c:v>
                </c:pt>
              </c:strCache>
            </c:strRef>
          </c:cat>
          <c:val>
            <c:numRef>
              <c:f>'Analytics 3'!$M$97:$M$100</c:f>
              <c:numCache>
                <c:formatCode>0%</c:formatCode>
                <c:ptCount val="4"/>
                <c:pt idx="0">
                  <c:v>0</c:v>
                </c:pt>
                <c:pt idx="1">
                  <c:v>0.19047619047619047</c:v>
                </c:pt>
                <c:pt idx="2">
                  <c:v>9.5238095238095233E-2</c:v>
                </c:pt>
                <c:pt idx="3">
                  <c:v>0.7142857142857143</c:v>
                </c:pt>
              </c:numCache>
            </c:numRef>
          </c:val>
          <c:extLst>
            <c:ext xmlns:c16="http://schemas.microsoft.com/office/drawing/2014/chart" uri="{C3380CC4-5D6E-409C-BE32-E72D297353CC}">
              <c16:uniqueId val="{00000000-4A82-4C70-B1E3-3F2A60AAF633}"/>
            </c:ext>
          </c:extLst>
        </c:ser>
        <c:ser>
          <c:idx val="1"/>
          <c:order val="1"/>
          <c:tx>
            <c:strRef>
              <c:f>'Analytics 3'!$N$96</c:f>
              <c:strCache>
                <c:ptCount val="1"/>
                <c:pt idx="0">
                  <c:v>All policies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3'!$L$97:$L$100</c:f>
              <c:strCache>
                <c:ptCount val="4"/>
                <c:pt idx="0">
                  <c:v>Overarching framework</c:v>
                </c:pt>
                <c:pt idx="1">
                  <c:v>Roadmap</c:v>
                </c:pt>
                <c:pt idx="2">
                  <c:v>Implementing agency</c:v>
                </c:pt>
                <c:pt idx="3">
                  <c:v>Intervention</c:v>
                </c:pt>
              </c:strCache>
            </c:strRef>
          </c:cat>
          <c:val>
            <c:numRef>
              <c:f>'Analytics 3'!$N$97:$N$100</c:f>
              <c:numCache>
                <c:formatCode>0%</c:formatCode>
                <c:ptCount val="4"/>
                <c:pt idx="0">
                  <c:v>6.1728395061728392E-2</c:v>
                </c:pt>
                <c:pt idx="1">
                  <c:v>0.15637860082304528</c:v>
                </c:pt>
                <c:pt idx="2">
                  <c:v>0.22633744855967078</c:v>
                </c:pt>
                <c:pt idx="3">
                  <c:v>0.55555555555555558</c:v>
                </c:pt>
              </c:numCache>
            </c:numRef>
          </c:val>
          <c:extLst>
            <c:ext xmlns:c16="http://schemas.microsoft.com/office/drawing/2014/chart" uri="{C3380CC4-5D6E-409C-BE32-E72D297353CC}">
              <c16:uniqueId val="{00000001-4A82-4C70-B1E3-3F2A60AAF633}"/>
            </c:ext>
          </c:extLst>
        </c:ser>
        <c:dLbls>
          <c:dLblPos val="outEnd"/>
          <c:showLegendKey val="0"/>
          <c:showVal val="1"/>
          <c:showCatName val="0"/>
          <c:showSerName val="0"/>
          <c:showPercent val="0"/>
          <c:showBubbleSize val="0"/>
        </c:dLbls>
        <c:gapWidth val="182"/>
        <c:axId val="2118763791"/>
        <c:axId val="1804865503"/>
      </c:barChart>
      <c:catAx>
        <c:axId val="2118763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4865503"/>
        <c:crosses val="autoZero"/>
        <c:auto val="1"/>
        <c:lblAlgn val="ctr"/>
        <c:lblOffset val="100"/>
        <c:noMultiLvlLbl val="0"/>
      </c:catAx>
      <c:valAx>
        <c:axId val="18048655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policies that are the respective policy type</a:t>
                </a:r>
              </a:p>
            </c:rich>
          </c:tx>
          <c:layout>
            <c:manualLayout>
              <c:xMode val="edge"/>
              <c:yMode val="edge"/>
              <c:x val="0.28765832743788372"/>
              <c:y val="0.845055009614468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8763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67357398443116"/>
          <c:y val="0.14254195374194456"/>
          <c:w val="0.74580269133278854"/>
          <c:h val="0.59889783670722441"/>
        </c:manualLayout>
      </c:layout>
      <c:barChart>
        <c:barDir val="bar"/>
        <c:grouping val="clustered"/>
        <c:varyColors val="0"/>
        <c:ser>
          <c:idx val="0"/>
          <c:order val="0"/>
          <c:tx>
            <c:strRef>
              <c:f>'Analytics 3'!$Q$96</c:f>
              <c:strCache>
                <c:ptCount val="1"/>
                <c:pt idx="0">
                  <c:v>Policies with donor-involvement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3'!$P$97:$P$100</c:f>
              <c:strCache>
                <c:ptCount val="4"/>
                <c:pt idx="0">
                  <c:v>Overarching framework</c:v>
                </c:pt>
                <c:pt idx="1">
                  <c:v>Roadmap</c:v>
                </c:pt>
                <c:pt idx="2">
                  <c:v>Implementing agency</c:v>
                </c:pt>
                <c:pt idx="3">
                  <c:v>Intervention</c:v>
                </c:pt>
              </c:strCache>
            </c:strRef>
          </c:cat>
          <c:val>
            <c:numRef>
              <c:f>'Analytics 3'!$Q$97:$Q$100</c:f>
              <c:numCache>
                <c:formatCode>0%</c:formatCode>
                <c:ptCount val="4"/>
                <c:pt idx="0">
                  <c:v>4.8543689320388349E-2</c:v>
                </c:pt>
                <c:pt idx="1">
                  <c:v>0.13592233009708737</c:v>
                </c:pt>
                <c:pt idx="2">
                  <c:v>0.1650485436893204</c:v>
                </c:pt>
                <c:pt idx="3">
                  <c:v>0.65048543689320393</c:v>
                </c:pt>
              </c:numCache>
            </c:numRef>
          </c:val>
          <c:extLst>
            <c:ext xmlns:c16="http://schemas.microsoft.com/office/drawing/2014/chart" uri="{C3380CC4-5D6E-409C-BE32-E72D297353CC}">
              <c16:uniqueId val="{00000000-B836-4B3D-8AE0-F61A818914D8}"/>
            </c:ext>
          </c:extLst>
        </c:ser>
        <c:ser>
          <c:idx val="1"/>
          <c:order val="1"/>
          <c:tx>
            <c:strRef>
              <c:f>'Analytics 3'!$R$96</c:f>
              <c:strCache>
                <c:ptCount val="1"/>
                <c:pt idx="0">
                  <c:v>All policies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3'!$P$97:$P$100</c:f>
              <c:strCache>
                <c:ptCount val="4"/>
                <c:pt idx="0">
                  <c:v>Overarching framework</c:v>
                </c:pt>
                <c:pt idx="1">
                  <c:v>Roadmap</c:v>
                </c:pt>
                <c:pt idx="2">
                  <c:v>Implementing agency</c:v>
                </c:pt>
                <c:pt idx="3">
                  <c:v>Intervention</c:v>
                </c:pt>
              </c:strCache>
            </c:strRef>
          </c:cat>
          <c:val>
            <c:numRef>
              <c:f>'Analytics 3'!$R$97:$R$100</c:f>
              <c:numCache>
                <c:formatCode>0%</c:formatCode>
                <c:ptCount val="4"/>
                <c:pt idx="0">
                  <c:v>6.1728395061728392E-2</c:v>
                </c:pt>
                <c:pt idx="1">
                  <c:v>0.15637860082304528</c:v>
                </c:pt>
                <c:pt idx="2">
                  <c:v>0.22633744855967078</c:v>
                </c:pt>
                <c:pt idx="3">
                  <c:v>0.55555555555555558</c:v>
                </c:pt>
              </c:numCache>
            </c:numRef>
          </c:val>
          <c:extLst>
            <c:ext xmlns:c16="http://schemas.microsoft.com/office/drawing/2014/chart" uri="{C3380CC4-5D6E-409C-BE32-E72D297353CC}">
              <c16:uniqueId val="{00000001-B836-4B3D-8AE0-F61A818914D8}"/>
            </c:ext>
          </c:extLst>
        </c:ser>
        <c:dLbls>
          <c:dLblPos val="outEnd"/>
          <c:showLegendKey val="0"/>
          <c:showVal val="1"/>
          <c:showCatName val="0"/>
          <c:showSerName val="0"/>
          <c:showPercent val="0"/>
          <c:showBubbleSize val="0"/>
        </c:dLbls>
        <c:gapWidth val="182"/>
        <c:axId val="386754895"/>
        <c:axId val="2128957983"/>
      </c:barChart>
      <c:catAx>
        <c:axId val="3867548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8957983"/>
        <c:crosses val="autoZero"/>
        <c:auto val="1"/>
        <c:lblAlgn val="ctr"/>
        <c:lblOffset val="100"/>
        <c:noMultiLvlLbl val="0"/>
      </c:catAx>
      <c:valAx>
        <c:axId val="212895798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policies that are the respective policy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6754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'Analytics 3'!$E$212</c:f>
              <c:strCache>
                <c:ptCount val="1"/>
                <c:pt idx="0">
                  <c:v>Lower-middle 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3'!$D$213:$D$214</c:f>
              <c:strCache>
                <c:ptCount val="2"/>
                <c:pt idx="0">
                  <c:v>% of policies with numerical targets</c:v>
                </c:pt>
                <c:pt idx="1">
                  <c:v>% of policies with evaluation frameworks</c:v>
                </c:pt>
              </c:strCache>
            </c:strRef>
          </c:cat>
          <c:val>
            <c:numRef>
              <c:f>'Analytics 3'!$E$213:$E$214</c:f>
              <c:numCache>
                <c:formatCode>0%</c:formatCode>
                <c:ptCount val="2"/>
                <c:pt idx="0">
                  <c:v>0.4157303370786517</c:v>
                </c:pt>
                <c:pt idx="1">
                  <c:v>0.58904109589041098</c:v>
                </c:pt>
              </c:numCache>
            </c:numRef>
          </c:val>
          <c:extLst>
            <c:ext xmlns:c16="http://schemas.microsoft.com/office/drawing/2014/chart" uri="{C3380CC4-5D6E-409C-BE32-E72D297353CC}">
              <c16:uniqueId val="{00000000-D008-4D5C-AD49-1A1B502B18D0}"/>
            </c:ext>
          </c:extLst>
        </c:ser>
        <c:ser>
          <c:idx val="1"/>
          <c:order val="1"/>
          <c:tx>
            <c:strRef>
              <c:f>'Analytics 3'!$F$212</c:f>
              <c:strCache>
                <c:ptCount val="1"/>
                <c:pt idx="0">
                  <c:v>All income groups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3'!$D$213:$D$214</c:f>
              <c:strCache>
                <c:ptCount val="2"/>
                <c:pt idx="0">
                  <c:v>% of policies with numerical targets</c:v>
                </c:pt>
                <c:pt idx="1">
                  <c:v>% of policies with evaluation frameworks</c:v>
                </c:pt>
              </c:strCache>
            </c:strRef>
          </c:cat>
          <c:val>
            <c:numRef>
              <c:f>'Analytics 3'!$F$213:$F$214</c:f>
              <c:numCache>
                <c:formatCode>0%</c:formatCode>
                <c:ptCount val="2"/>
                <c:pt idx="0">
                  <c:v>0.38650306748466257</c:v>
                </c:pt>
                <c:pt idx="1">
                  <c:v>0.61290322580645162</c:v>
                </c:pt>
              </c:numCache>
            </c:numRef>
          </c:val>
          <c:extLst>
            <c:ext xmlns:c16="http://schemas.microsoft.com/office/drawing/2014/chart" uri="{C3380CC4-5D6E-409C-BE32-E72D297353CC}">
              <c16:uniqueId val="{00000001-D008-4D5C-AD49-1A1B502B18D0}"/>
            </c:ext>
          </c:extLst>
        </c:ser>
        <c:dLbls>
          <c:dLblPos val="outEnd"/>
          <c:showLegendKey val="0"/>
          <c:showVal val="1"/>
          <c:showCatName val="0"/>
          <c:showSerName val="0"/>
          <c:showPercent val="0"/>
          <c:showBubbleSize val="0"/>
        </c:dLbls>
        <c:gapWidth val="182"/>
        <c:axId val="1271011200"/>
        <c:axId val="1271008248"/>
      </c:barChart>
      <c:catAx>
        <c:axId val="1271011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1008248"/>
        <c:crosses val="autoZero"/>
        <c:auto val="1"/>
        <c:lblAlgn val="ctr"/>
        <c:lblOffset val="100"/>
        <c:noMultiLvlLbl val="0"/>
      </c:catAx>
      <c:valAx>
        <c:axId val="127100824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1011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'Analytics 3'!$E$220</c:f>
              <c:strCache>
                <c:ptCount val="1"/>
                <c:pt idx="0">
                  <c:v>Covid-19 policies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3'!$D$221:$D$222</c:f>
              <c:strCache>
                <c:ptCount val="2"/>
                <c:pt idx="0">
                  <c:v>% of policies with numerical targets</c:v>
                </c:pt>
                <c:pt idx="1">
                  <c:v>% of policies with evaluation frameworks</c:v>
                </c:pt>
              </c:strCache>
            </c:strRef>
          </c:cat>
          <c:val>
            <c:numRef>
              <c:f>'Analytics 3'!$E$221:$E$222</c:f>
              <c:numCache>
                <c:formatCode>0%</c:formatCode>
                <c:ptCount val="2"/>
                <c:pt idx="0">
                  <c:v>0.30769230769230771</c:v>
                </c:pt>
                <c:pt idx="1">
                  <c:v>0.35714285714285715</c:v>
                </c:pt>
              </c:numCache>
            </c:numRef>
          </c:val>
          <c:extLst>
            <c:ext xmlns:c16="http://schemas.microsoft.com/office/drawing/2014/chart" uri="{C3380CC4-5D6E-409C-BE32-E72D297353CC}">
              <c16:uniqueId val="{00000000-06E5-4F1D-AB6F-A24CC284F766}"/>
            </c:ext>
          </c:extLst>
        </c:ser>
        <c:ser>
          <c:idx val="1"/>
          <c:order val="1"/>
          <c:tx>
            <c:strRef>
              <c:f>'Analytics 3'!$G$220</c:f>
              <c:strCache>
                <c:ptCount val="1"/>
                <c:pt idx="0">
                  <c:v>All policies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3'!$D$221:$D$222</c:f>
              <c:strCache>
                <c:ptCount val="2"/>
                <c:pt idx="0">
                  <c:v>% of policies with numerical targets</c:v>
                </c:pt>
                <c:pt idx="1">
                  <c:v>% of policies with evaluation frameworks</c:v>
                </c:pt>
              </c:strCache>
            </c:strRef>
          </c:cat>
          <c:val>
            <c:numRef>
              <c:f>'Analytics 3'!$G$221:$G$222</c:f>
              <c:numCache>
                <c:formatCode>0%</c:formatCode>
                <c:ptCount val="2"/>
                <c:pt idx="0">
                  <c:v>0.38650306748466257</c:v>
                </c:pt>
                <c:pt idx="1">
                  <c:v>0.61290322580645162</c:v>
                </c:pt>
              </c:numCache>
            </c:numRef>
          </c:val>
          <c:extLst>
            <c:ext xmlns:c16="http://schemas.microsoft.com/office/drawing/2014/chart" uri="{C3380CC4-5D6E-409C-BE32-E72D297353CC}">
              <c16:uniqueId val="{00000001-06E5-4F1D-AB6F-A24CC284F766}"/>
            </c:ext>
          </c:extLst>
        </c:ser>
        <c:dLbls>
          <c:dLblPos val="outEnd"/>
          <c:showLegendKey val="0"/>
          <c:showVal val="1"/>
          <c:showCatName val="0"/>
          <c:showSerName val="0"/>
          <c:showPercent val="0"/>
          <c:showBubbleSize val="0"/>
        </c:dLbls>
        <c:gapWidth val="182"/>
        <c:axId val="1814620160"/>
        <c:axId val="1814633280"/>
      </c:barChart>
      <c:catAx>
        <c:axId val="1814620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4633280"/>
        <c:crosses val="autoZero"/>
        <c:auto val="1"/>
        <c:lblAlgn val="ctr"/>
        <c:lblOffset val="100"/>
        <c:noMultiLvlLbl val="0"/>
      </c:catAx>
      <c:valAx>
        <c:axId val="1814633280"/>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462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'Analytics 3'!$F$220</c:f>
              <c:strCache>
                <c:ptCount val="1"/>
                <c:pt idx="0">
                  <c:v>Policies with donor-involvement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3'!$D$221:$D$222</c:f>
              <c:strCache>
                <c:ptCount val="2"/>
                <c:pt idx="0">
                  <c:v>% of policies with numerical targets</c:v>
                </c:pt>
                <c:pt idx="1">
                  <c:v>% of policies with evaluation frameworks</c:v>
                </c:pt>
              </c:strCache>
            </c:strRef>
          </c:cat>
          <c:val>
            <c:numRef>
              <c:f>'Analytics 3'!$F$221:$F$222</c:f>
              <c:numCache>
                <c:formatCode>0%</c:formatCode>
                <c:ptCount val="2"/>
                <c:pt idx="0">
                  <c:v>0.57692307692307687</c:v>
                </c:pt>
                <c:pt idx="1">
                  <c:v>0.76190476190476186</c:v>
                </c:pt>
              </c:numCache>
            </c:numRef>
          </c:val>
          <c:extLst>
            <c:ext xmlns:c16="http://schemas.microsoft.com/office/drawing/2014/chart" uri="{C3380CC4-5D6E-409C-BE32-E72D297353CC}">
              <c16:uniqueId val="{00000000-F1AE-40C6-B14D-DEA78DAA6F67}"/>
            </c:ext>
          </c:extLst>
        </c:ser>
        <c:ser>
          <c:idx val="1"/>
          <c:order val="1"/>
          <c:tx>
            <c:strRef>
              <c:f>'Analytics 3'!$G$220</c:f>
              <c:strCache>
                <c:ptCount val="1"/>
                <c:pt idx="0">
                  <c:v>All policies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3'!$D$221:$D$222</c:f>
              <c:strCache>
                <c:ptCount val="2"/>
                <c:pt idx="0">
                  <c:v>% of policies with numerical targets</c:v>
                </c:pt>
                <c:pt idx="1">
                  <c:v>% of policies with evaluation frameworks</c:v>
                </c:pt>
              </c:strCache>
            </c:strRef>
          </c:cat>
          <c:val>
            <c:numRef>
              <c:f>'Analytics 3'!$G$221:$G$222</c:f>
              <c:numCache>
                <c:formatCode>0%</c:formatCode>
                <c:ptCount val="2"/>
                <c:pt idx="0">
                  <c:v>0.38650306748466257</c:v>
                </c:pt>
                <c:pt idx="1">
                  <c:v>0.61290322580645162</c:v>
                </c:pt>
              </c:numCache>
            </c:numRef>
          </c:val>
          <c:extLst>
            <c:ext xmlns:c16="http://schemas.microsoft.com/office/drawing/2014/chart" uri="{C3380CC4-5D6E-409C-BE32-E72D297353CC}">
              <c16:uniqueId val="{00000001-F1AE-40C6-B14D-DEA78DAA6F67}"/>
            </c:ext>
          </c:extLst>
        </c:ser>
        <c:dLbls>
          <c:dLblPos val="outEnd"/>
          <c:showLegendKey val="0"/>
          <c:showVal val="1"/>
          <c:showCatName val="0"/>
          <c:showSerName val="0"/>
          <c:showPercent val="0"/>
          <c:showBubbleSize val="0"/>
        </c:dLbls>
        <c:gapWidth val="182"/>
        <c:axId val="1381106560"/>
        <c:axId val="1381111808"/>
      </c:barChart>
      <c:catAx>
        <c:axId val="1381106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111808"/>
        <c:crosses val="autoZero"/>
        <c:auto val="1"/>
        <c:lblAlgn val="ctr"/>
        <c:lblOffset val="100"/>
        <c:noMultiLvlLbl val="0"/>
      </c:catAx>
      <c:valAx>
        <c:axId val="138111180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106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45400229493925"/>
          <c:y val="2.8928330630318713E-2"/>
          <c:w val="0.43899589812579953"/>
          <c:h val="0.85429771041684954"/>
        </c:manualLayout>
      </c:layout>
      <c:barChart>
        <c:barDir val="bar"/>
        <c:grouping val="clustered"/>
        <c:varyColors val="0"/>
        <c:ser>
          <c:idx val="0"/>
          <c:order val="0"/>
          <c:tx>
            <c:strRef>
              <c:f>'Analytics 3'!$E$39</c:f>
              <c:strCache>
                <c:ptCount val="1"/>
                <c:pt idx="0">
                  <c:v>High-income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3'!$D$40:$D$50</c:f>
              <c:strCache>
                <c:ptCount val="11"/>
                <c:pt idx="0">
                  <c:v>Informal businesses</c:v>
                </c:pt>
                <c:pt idx="1">
                  <c:v>Other</c:v>
                </c:pt>
                <c:pt idx="2">
                  <c:v>Urban livelihoods</c:v>
                </c:pt>
                <c:pt idx="3">
                  <c:v>Migrants</c:v>
                </c:pt>
                <c:pt idx="4">
                  <c:v>Adversely affected businesses by the COVID-19 crisis</c:v>
                </c:pt>
                <c:pt idx="5">
                  <c:v>People with disabilities</c:v>
                </c:pt>
                <c:pt idx="6">
                  <c:v>Start ups</c:v>
                </c:pt>
                <c:pt idx="7">
                  <c:v>Rural livelihoods</c:v>
                </c:pt>
                <c:pt idx="8">
                  <c:v>Micro enterprises</c:v>
                </c:pt>
                <c:pt idx="9">
                  <c:v>Youth</c:v>
                </c:pt>
                <c:pt idx="10">
                  <c:v>Women</c:v>
                </c:pt>
              </c:strCache>
            </c:strRef>
          </c:cat>
          <c:val>
            <c:numRef>
              <c:f>'Analytics 3'!$E$40:$E$50</c:f>
              <c:numCache>
                <c:formatCode>0%</c:formatCode>
                <c:ptCount val="11"/>
                <c:pt idx="0">
                  <c:v>0</c:v>
                </c:pt>
                <c:pt idx="1">
                  <c:v>0</c:v>
                </c:pt>
                <c:pt idx="2">
                  <c:v>0</c:v>
                </c:pt>
                <c:pt idx="3">
                  <c:v>0</c:v>
                </c:pt>
                <c:pt idx="4">
                  <c:v>0.5</c:v>
                </c:pt>
                <c:pt idx="5">
                  <c:v>0</c:v>
                </c:pt>
                <c:pt idx="6">
                  <c:v>0.25</c:v>
                </c:pt>
                <c:pt idx="7">
                  <c:v>0.125</c:v>
                </c:pt>
                <c:pt idx="8">
                  <c:v>0.375</c:v>
                </c:pt>
                <c:pt idx="9">
                  <c:v>0.25</c:v>
                </c:pt>
                <c:pt idx="10">
                  <c:v>0.375</c:v>
                </c:pt>
              </c:numCache>
            </c:numRef>
          </c:val>
          <c:extLst>
            <c:ext xmlns:c16="http://schemas.microsoft.com/office/drawing/2014/chart" uri="{C3380CC4-5D6E-409C-BE32-E72D297353CC}">
              <c16:uniqueId val="{00000000-772A-49D3-9F85-B76E1EB52449}"/>
            </c:ext>
          </c:extLst>
        </c:ser>
        <c:ser>
          <c:idx val="1"/>
          <c:order val="1"/>
          <c:tx>
            <c:strRef>
              <c:f>'Analytics 3'!$F$39</c:f>
              <c:strCache>
                <c:ptCount val="1"/>
                <c:pt idx="0">
                  <c:v>All regions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3'!$D$40:$D$50</c:f>
              <c:strCache>
                <c:ptCount val="11"/>
                <c:pt idx="0">
                  <c:v>Informal businesses</c:v>
                </c:pt>
                <c:pt idx="1">
                  <c:v>Other</c:v>
                </c:pt>
                <c:pt idx="2">
                  <c:v>Urban livelihoods</c:v>
                </c:pt>
                <c:pt idx="3">
                  <c:v>Migrants</c:v>
                </c:pt>
                <c:pt idx="4">
                  <c:v>Adversely affected businesses by the COVID-19 crisis</c:v>
                </c:pt>
                <c:pt idx="5">
                  <c:v>People with disabilities</c:v>
                </c:pt>
                <c:pt idx="6">
                  <c:v>Start ups</c:v>
                </c:pt>
                <c:pt idx="7">
                  <c:v>Rural livelihoods</c:v>
                </c:pt>
                <c:pt idx="8">
                  <c:v>Micro enterprises</c:v>
                </c:pt>
                <c:pt idx="9">
                  <c:v>Youth</c:v>
                </c:pt>
                <c:pt idx="10">
                  <c:v>Women</c:v>
                </c:pt>
              </c:strCache>
            </c:strRef>
          </c:cat>
          <c:val>
            <c:numRef>
              <c:f>'Analytics 3'!$F$40:$F$50</c:f>
              <c:numCache>
                <c:formatCode>0%</c:formatCode>
                <c:ptCount val="11"/>
                <c:pt idx="0">
                  <c:v>0</c:v>
                </c:pt>
                <c:pt idx="1">
                  <c:v>7.6335877862595417E-3</c:v>
                </c:pt>
                <c:pt idx="2">
                  <c:v>1.5267175572519083E-2</c:v>
                </c:pt>
                <c:pt idx="3">
                  <c:v>1.5267175572519083E-2</c:v>
                </c:pt>
                <c:pt idx="4">
                  <c:v>0.11450381679389313</c:v>
                </c:pt>
                <c:pt idx="5">
                  <c:v>0.12213740458015267</c:v>
                </c:pt>
                <c:pt idx="6">
                  <c:v>0.12977099236641221</c:v>
                </c:pt>
                <c:pt idx="7">
                  <c:v>0.20610687022900764</c:v>
                </c:pt>
                <c:pt idx="8">
                  <c:v>0.31297709923664124</c:v>
                </c:pt>
                <c:pt idx="9">
                  <c:v>0.47328244274809161</c:v>
                </c:pt>
                <c:pt idx="10">
                  <c:v>0.48091603053435117</c:v>
                </c:pt>
              </c:numCache>
            </c:numRef>
          </c:val>
          <c:extLst>
            <c:ext xmlns:c16="http://schemas.microsoft.com/office/drawing/2014/chart" uri="{C3380CC4-5D6E-409C-BE32-E72D297353CC}">
              <c16:uniqueId val="{00000001-772A-49D3-9F85-B76E1EB52449}"/>
            </c:ext>
          </c:extLst>
        </c:ser>
        <c:dLbls>
          <c:dLblPos val="outEnd"/>
          <c:showLegendKey val="0"/>
          <c:showVal val="1"/>
          <c:showCatName val="0"/>
          <c:showSerName val="0"/>
          <c:showPercent val="0"/>
          <c:showBubbleSize val="0"/>
        </c:dLbls>
        <c:gapWidth val="182"/>
        <c:axId val="905623184"/>
        <c:axId val="905621216"/>
      </c:barChart>
      <c:catAx>
        <c:axId val="905623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621216"/>
        <c:crosses val="autoZero"/>
        <c:auto val="1"/>
        <c:lblAlgn val="ctr"/>
        <c:lblOffset val="100"/>
        <c:noMultiLvlLbl val="0"/>
      </c:catAx>
      <c:valAx>
        <c:axId val="905621216"/>
        <c:scaling>
          <c:orientation val="minMax"/>
          <c:max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 of policies that target the specific group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6231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495376162091887"/>
          <c:y val="8.1897722863055369E-2"/>
          <c:w val="0.74867061593936268"/>
          <c:h val="0.74569693275354543"/>
        </c:manualLayout>
      </c:layout>
      <c:barChart>
        <c:barDir val="bar"/>
        <c:grouping val="clustered"/>
        <c:varyColors val="0"/>
        <c:ser>
          <c:idx val="2"/>
          <c:order val="0"/>
          <c:tx>
            <c:strRef>
              <c:f>'Analytics 3'!$E$23</c:f>
              <c:strCache>
                <c:ptCount val="1"/>
                <c:pt idx="0">
                  <c:v>Covid-19 policies</c:v>
                </c:pt>
              </c:strCache>
            </c:strRef>
          </c:tx>
          <c:spPr>
            <a:solidFill>
              <a:schemeClr val="accent1"/>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'Analytics 3'!$D$24:$D$33</c:f>
              <c:strCache>
                <c:ptCount val="10"/>
                <c:pt idx="0">
                  <c:v>Other</c:v>
                </c:pt>
                <c:pt idx="1">
                  <c:v>Urban livelihoods</c:v>
                </c:pt>
                <c:pt idx="2">
                  <c:v>Migrants</c:v>
                </c:pt>
                <c:pt idx="3">
                  <c:v>Adversely affected businesses by the COVID-19 crisis</c:v>
                </c:pt>
                <c:pt idx="4">
                  <c:v>People with disabilities</c:v>
                </c:pt>
                <c:pt idx="5">
                  <c:v>Start ups</c:v>
                </c:pt>
                <c:pt idx="6">
                  <c:v>Rural livelihoods</c:v>
                </c:pt>
                <c:pt idx="7">
                  <c:v>Micro enterprises</c:v>
                </c:pt>
                <c:pt idx="8">
                  <c:v>Youth</c:v>
                </c:pt>
                <c:pt idx="9">
                  <c:v>Women</c:v>
                </c:pt>
              </c:strCache>
            </c:strRef>
          </c:cat>
          <c:val>
            <c:numRef>
              <c:f>'Analytics 3'!$E$24:$E$33</c:f>
              <c:numCache>
                <c:formatCode>0%</c:formatCode>
                <c:ptCount val="10"/>
                <c:pt idx="0">
                  <c:v>0</c:v>
                </c:pt>
                <c:pt idx="1">
                  <c:v>4.3478260869565216E-2</c:v>
                </c:pt>
                <c:pt idx="2">
                  <c:v>4.3478260869565216E-2</c:v>
                </c:pt>
                <c:pt idx="3">
                  <c:v>0.52173913043478259</c:v>
                </c:pt>
                <c:pt idx="4">
                  <c:v>0.13043478260869565</c:v>
                </c:pt>
                <c:pt idx="5">
                  <c:v>8.6956521739130432E-2</c:v>
                </c:pt>
                <c:pt idx="6">
                  <c:v>8.6956521739130432E-2</c:v>
                </c:pt>
                <c:pt idx="7">
                  <c:v>0.21739130434782608</c:v>
                </c:pt>
                <c:pt idx="8">
                  <c:v>0.2608695652173913</c:v>
                </c:pt>
                <c:pt idx="9">
                  <c:v>0.34782608695652173</c:v>
                </c:pt>
              </c:numCache>
            </c:numRef>
          </c:val>
          <c:extLst>
            <c:ext xmlns:c16="http://schemas.microsoft.com/office/drawing/2014/chart" uri="{C3380CC4-5D6E-409C-BE32-E72D297353CC}">
              <c16:uniqueId val="{00000006-D563-4B9D-AAC7-A654382435CE}"/>
            </c:ext>
          </c:extLst>
        </c:ser>
        <c:ser>
          <c:idx val="3"/>
          <c:order val="1"/>
          <c:tx>
            <c:strRef>
              <c:f>'Analytics 3'!$G$23</c:f>
              <c:strCache>
                <c:ptCount val="1"/>
                <c:pt idx="0">
                  <c:v>All policies</c:v>
                </c:pt>
              </c:strCache>
            </c:strRef>
          </c:tx>
          <c:spPr>
            <a:solidFill>
              <a:schemeClr val="bg1">
                <a:lumMod val="50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'Analytics 3'!$D$24:$D$33</c:f>
              <c:strCache>
                <c:ptCount val="10"/>
                <c:pt idx="0">
                  <c:v>Other</c:v>
                </c:pt>
                <c:pt idx="1">
                  <c:v>Urban livelihoods</c:v>
                </c:pt>
                <c:pt idx="2">
                  <c:v>Migrants</c:v>
                </c:pt>
                <c:pt idx="3">
                  <c:v>Adversely affected businesses by the COVID-19 crisis</c:v>
                </c:pt>
                <c:pt idx="4">
                  <c:v>People with disabilities</c:v>
                </c:pt>
                <c:pt idx="5">
                  <c:v>Start ups</c:v>
                </c:pt>
                <c:pt idx="6">
                  <c:v>Rural livelihoods</c:v>
                </c:pt>
                <c:pt idx="7">
                  <c:v>Micro enterprises</c:v>
                </c:pt>
                <c:pt idx="8">
                  <c:v>Youth</c:v>
                </c:pt>
                <c:pt idx="9">
                  <c:v>Women</c:v>
                </c:pt>
              </c:strCache>
            </c:strRef>
          </c:cat>
          <c:val>
            <c:numRef>
              <c:f>'Analytics 3'!$G$24:$G$33</c:f>
              <c:numCache>
                <c:formatCode>0%</c:formatCode>
                <c:ptCount val="10"/>
                <c:pt idx="0">
                  <c:v>7.6335877862595417E-3</c:v>
                </c:pt>
                <c:pt idx="1">
                  <c:v>1.5267175572519083E-2</c:v>
                </c:pt>
                <c:pt idx="2">
                  <c:v>1.5267175572519083E-2</c:v>
                </c:pt>
                <c:pt idx="3">
                  <c:v>0.11450381679389313</c:v>
                </c:pt>
                <c:pt idx="4">
                  <c:v>0.12213740458015267</c:v>
                </c:pt>
                <c:pt idx="5">
                  <c:v>0.12977099236641221</c:v>
                </c:pt>
                <c:pt idx="6">
                  <c:v>0.20610687022900764</c:v>
                </c:pt>
                <c:pt idx="7">
                  <c:v>0.31297709923664124</c:v>
                </c:pt>
                <c:pt idx="8">
                  <c:v>0.47328244274809161</c:v>
                </c:pt>
                <c:pt idx="9">
                  <c:v>0.48091603053435117</c:v>
                </c:pt>
              </c:numCache>
            </c:numRef>
          </c:val>
          <c:extLst>
            <c:ext xmlns:c16="http://schemas.microsoft.com/office/drawing/2014/chart" uri="{C3380CC4-5D6E-409C-BE32-E72D297353CC}">
              <c16:uniqueId val="{00000007-D563-4B9D-AAC7-A654382435CE}"/>
            </c:ext>
          </c:extLst>
        </c:ser>
        <c:dLbls>
          <c:dLblPos val="outEnd"/>
          <c:showLegendKey val="0"/>
          <c:showVal val="1"/>
          <c:showCatName val="0"/>
          <c:showSerName val="0"/>
          <c:showPercent val="0"/>
          <c:showBubbleSize val="0"/>
        </c:dLbls>
        <c:gapWidth val="182"/>
        <c:axId val="1811069567"/>
        <c:axId val="1810354527"/>
        <c:extLst/>
      </c:barChart>
      <c:catAx>
        <c:axId val="1811069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0354527"/>
        <c:crosses val="autoZero"/>
        <c:auto val="1"/>
        <c:lblAlgn val="ctr"/>
        <c:lblOffset val="100"/>
        <c:noMultiLvlLbl val="0"/>
      </c:catAx>
      <c:valAx>
        <c:axId val="1810354527"/>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ZA" sz="1000" b="0" i="0" baseline="0">
                    <a:effectLst/>
                  </a:rPr>
                  <a:t>Proportion of Targetted MSME Policies by Income Group</a:t>
                </a:r>
                <a:endParaRPr lang="en-US"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069567"/>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ln>
      <a:noFill/>
    </a:ln>
  </c:spPr>
  <c:txPr>
    <a:bodyPr/>
    <a:lstStyle/>
    <a:p>
      <a:pPr>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020278403461695"/>
          <c:y val="3.5319358295043304E-2"/>
          <c:w val="0.47158803426135038"/>
          <c:h val="0.82210824966159657"/>
        </c:manualLayout>
      </c:layout>
      <c:barChart>
        <c:barDir val="bar"/>
        <c:grouping val="clustered"/>
        <c:varyColors val="0"/>
        <c:ser>
          <c:idx val="0"/>
          <c:order val="0"/>
          <c:tx>
            <c:strRef>
              <c:f>'Analytics 3'!$F$23</c:f>
              <c:strCache>
                <c:ptCount val="1"/>
                <c:pt idx="0">
                  <c:v>Policies with donor-involvement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3'!$D$24:$D$33</c:f>
              <c:strCache>
                <c:ptCount val="10"/>
                <c:pt idx="0">
                  <c:v>Other</c:v>
                </c:pt>
                <c:pt idx="1">
                  <c:v>Urban livelihoods</c:v>
                </c:pt>
                <c:pt idx="2">
                  <c:v>Migrants</c:v>
                </c:pt>
                <c:pt idx="3">
                  <c:v>Adversely affected businesses by the COVID-19 crisis</c:v>
                </c:pt>
                <c:pt idx="4">
                  <c:v>People with disabilities</c:v>
                </c:pt>
                <c:pt idx="5">
                  <c:v>Start ups</c:v>
                </c:pt>
                <c:pt idx="6">
                  <c:v>Rural livelihoods</c:v>
                </c:pt>
                <c:pt idx="7">
                  <c:v>Micro enterprises</c:v>
                </c:pt>
                <c:pt idx="8">
                  <c:v>Youth</c:v>
                </c:pt>
                <c:pt idx="9">
                  <c:v>Women</c:v>
                </c:pt>
              </c:strCache>
            </c:strRef>
          </c:cat>
          <c:val>
            <c:numRef>
              <c:f>'Analytics 3'!$F$24:$F$33</c:f>
              <c:numCache>
                <c:formatCode>0%</c:formatCode>
                <c:ptCount val="10"/>
                <c:pt idx="0">
                  <c:v>0</c:v>
                </c:pt>
                <c:pt idx="1">
                  <c:v>3.2786885245901641E-2</c:v>
                </c:pt>
                <c:pt idx="2">
                  <c:v>3.2786885245901641E-2</c:v>
                </c:pt>
                <c:pt idx="3">
                  <c:v>1.6393442622950821E-2</c:v>
                </c:pt>
                <c:pt idx="4">
                  <c:v>3.2786885245901641E-2</c:v>
                </c:pt>
                <c:pt idx="5">
                  <c:v>0.16393442622950818</c:v>
                </c:pt>
                <c:pt idx="6">
                  <c:v>0.26229508196721313</c:v>
                </c:pt>
                <c:pt idx="7">
                  <c:v>0.31147540983606559</c:v>
                </c:pt>
                <c:pt idx="8">
                  <c:v>0.50819672131147542</c:v>
                </c:pt>
                <c:pt idx="9">
                  <c:v>0.5901639344262295</c:v>
                </c:pt>
              </c:numCache>
            </c:numRef>
          </c:val>
          <c:extLst>
            <c:ext xmlns:c16="http://schemas.microsoft.com/office/drawing/2014/chart" uri="{C3380CC4-5D6E-409C-BE32-E72D297353CC}">
              <c16:uniqueId val="{00000000-7835-4B04-A332-8BA65DEEE0D7}"/>
            </c:ext>
          </c:extLst>
        </c:ser>
        <c:ser>
          <c:idx val="1"/>
          <c:order val="1"/>
          <c:tx>
            <c:strRef>
              <c:f>'Analytics 3'!$G$23</c:f>
              <c:strCache>
                <c:ptCount val="1"/>
                <c:pt idx="0">
                  <c:v>All policies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3'!$D$24:$D$33</c:f>
              <c:strCache>
                <c:ptCount val="10"/>
                <c:pt idx="0">
                  <c:v>Other</c:v>
                </c:pt>
                <c:pt idx="1">
                  <c:v>Urban livelihoods</c:v>
                </c:pt>
                <c:pt idx="2">
                  <c:v>Migrants</c:v>
                </c:pt>
                <c:pt idx="3">
                  <c:v>Adversely affected businesses by the COVID-19 crisis</c:v>
                </c:pt>
                <c:pt idx="4">
                  <c:v>People with disabilities</c:v>
                </c:pt>
                <c:pt idx="5">
                  <c:v>Start ups</c:v>
                </c:pt>
                <c:pt idx="6">
                  <c:v>Rural livelihoods</c:v>
                </c:pt>
                <c:pt idx="7">
                  <c:v>Micro enterprises</c:v>
                </c:pt>
                <c:pt idx="8">
                  <c:v>Youth</c:v>
                </c:pt>
                <c:pt idx="9">
                  <c:v>Women</c:v>
                </c:pt>
              </c:strCache>
            </c:strRef>
          </c:cat>
          <c:val>
            <c:numRef>
              <c:f>'Analytics 3'!$G$24:$G$33</c:f>
              <c:numCache>
                <c:formatCode>0%</c:formatCode>
                <c:ptCount val="10"/>
                <c:pt idx="0">
                  <c:v>7.6335877862595417E-3</c:v>
                </c:pt>
                <c:pt idx="1">
                  <c:v>1.5267175572519083E-2</c:v>
                </c:pt>
                <c:pt idx="2">
                  <c:v>1.5267175572519083E-2</c:v>
                </c:pt>
                <c:pt idx="3">
                  <c:v>0.11450381679389313</c:v>
                </c:pt>
                <c:pt idx="4">
                  <c:v>0.12213740458015267</c:v>
                </c:pt>
                <c:pt idx="5">
                  <c:v>0.12977099236641221</c:v>
                </c:pt>
                <c:pt idx="6">
                  <c:v>0.20610687022900764</c:v>
                </c:pt>
                <c:pt idx="7">
                  <c:v>0.31297709923664124</c:v>
                </c:pt>
                <c:pt idx="8">
                  <c:v>0.47328244274809161</c:v>
                </c:pt>
                <c:pt idx="9">
                  <c:v>0.48091603053435117</c:v>
                </c:pt>
              </c:numCache>
            </c:numRef>
          </c:val>
          <c:extLst>
            <c:ext xmlns:c16="http://schemas.microsoft.com/office/drawing/2014/chart" uri="{C3380CC4-5D6E-409C-BE32-E72D297353CC}">
              <c16:uniqueId val="{00000001-7835-4B04-A332-8BA65DEEE0D7}"/>
            </c:ext>
          </c:extLst>
        </c:ser>
        <c:dLbls>
          <c:dLblPos val="outEnd"/>
          <c:showLegendKey val="0"/>
          <c:showVal val="1"/>
          <c:showCatName val="0"/>
          <c:showSerName val="0"/>
          <c:showPercent val="0"/>
          <c:showBubbleSize val="0"/>
        </c:dLbls>
        <c:gapWidth val="182"/>
        <c:axId val="1282021520"/>
        <c:axId val="1282023488"/>
      </c:barChart>
      <c:catAx>
        <c:axId val="1282021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2023488"/>
        <c:crosses val="autoZero"/>
        <c:auto val="1"/>
        <c:lblAlgn val="ctr"/>
        <c:lblOffset val="100"/>
        <c:noMultiLvlLbl val="0"/>
      </c:catAx>
      <c:valAx>
        <c:axId val="1282023488"/>
        <c:scaling>
          <c:orientation val="minMax"/>
          <c:max val="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 of MSME financing policies with</a:t>
                </a:r>
                <a:r>
                  <a:rPr lang="en-ZA" baseline="0"/>
                  <a:t> of donor-involvement MSME policies by target group </a:t>
                </a:r>
                <a:endParaRPr lang="en-Z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2021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76124549357404"/>
          <c:y val="8.5997594489159487E-2"/>
          <c:w val="0.78619465955185353"/>
          <c:h val="0.68427612024202222"/>
        </c:manualLayout>
      </c:layout>
      <c:barChart>
        <c:barDir val="bar"/>
        <c:grouping val="clustered"/>
        <c:varyColors val="0"/>
        <c:ser>
          <c:idx val="0"/>
          <c:order val="0"/>
          <c:tx>
            <c:strRef>
              <c:f>'Analytics 3'!$E$62</c:f>
              <c:strCache>
                <c:ptCount val="1"/>
                <c:pt idx="0">
                  <c:v>Northern Africa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3'!$D$63:$D$75</c:f>
              <c:strCache>
                <c:ptCount val="13"/>
                <c:pt idx="0">
                  <c:v>Transport</c:v>
                </c:pt>
                <c:pt idx="1">
                  <c:v>Energy</c:v>
                </c:pt>
                <c:pt idx="2">
                  <c:v>Digital economy</c:v>
                </c:pt>
                <c:pt idx="3">
                  <c:v>Informal sector</c:v>
                </c:pt>
                <c:pt idx="4">
                  <c:v>Mining</c:v>
                </c:pt>
                <c:pt idx="5">
                  <c:v>Construction</c:v>
                </c:pt>
                <c:pt idx="6">
                  <c:v>Health care</c:v>
                </c:pt>
                <c:pt idx="7">
                  <c:v>Financial sector</c:v>
                </c:pt>
                <c:pt idx="8">
                  <c:v>Tourism</c:v>
                </c:pt>
                <c:pt idx="9">
                  <c:v>Services</c:v>
                </c:pt>
                <c:pt idx="10">
                  <c:v>Trade</c:v>
                </c:pt>
                <c:pt idx="11">
                  <c:v>Manufacturing</c:v>
                </c:pt>
                <c:pt idx="12">
                  <c:v>Agriculture</c:v>
                </c:pt>
              </c:strCache>
            </c:strRef>
          </c:cat>
          <c:val>
            <c:numRef>
              <c:f>'Analytics 3'!$E$63:$E$75</c:f>
              <c:numCache>
                <c:formatCode>0%</c:formatCode>
                <c:ptCount val="13"/>
                <c:pt idx="0">
                  <c:v>0</c:v>
                </c:pt>
                <c:pt idx="1">
                  <c:v>0</c:v>
                </c:pt>
                <c:pt idx="2">
                  <c:v>0.1</c:v>
                </c:pt>
                <c:pt idx="3">
                  <c:v>0.1</c:v>
                </c:pt>
                <c:pt idx="4">
                  <c:v>0</c:v>
                </c:pt>
                <c:pt idx="5">
                  <c:v>0</c:v>
                </c:pt>
                <c:pt idx="6">
                  <c:v>0.2</c:v>
                </c:pt>
                <c:pt idx="7">
                  <c:v>0.2</c:v>
                </c:pt>
                <c:pt idx="8">
                  <c:v>0.1</c:v>
                </c:pt>
                <c:pt idx="9">
                  <c:v>0.2</c:v>
                </c:pt>
                <c:pt idx="10">
                  <c:v>0.3</c:v>
                </c:pt>
                <c:pt idx="11">
                  <c:v>0.5</c:v>
                </c:pt>
                <c:pt idx="12">
                  <c:v>0.4</c:v>
                </c:pt>
              </c:numCache>
            </c:numRef>
          </c:val>
          <c:extLst>
            <c:ext xmlns:c16="http://schemas.microsoft.com/office/drawing/2014/chart" uri="{C3380CC4-5D6E-409C-BE32-E72D297353CC}">
              <c16:uniqueId val="{00000000-4676-49B9-BC32-916DD1F78759}"/>
            </c:ext>
          </c:extLst>
        </c:ser>
        <c:ser>
          <c:idx val="1"/>
          <c:order val="1"/>
          <c:tx>
            <c:strRef>
              <c:f>'Analytics 3'!$F$62</c:f>
              <c:strCache>
                <c:ptCount val="1"/>
                <c:pt idx="0">
                  <c:v>All regions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3'!$D$63:$D$75</c:f>
              <c:strCache>
                <c:ptCount val="13"/>
                <c:pt idx="0">
                  <c:v>Transport</c:v>
                </c:pt>
                <c:pt idx="1">
                  <c:v>Energy</c:v>
                </c:pt>
                <c:pt idx="2">
                  <c:v>Digital economy</c:v>
                </c:pt>
                <c:pt idx="3">
                  <c:v>Informal sector</c:v>
                </c:pt>
                <c:pt idx="4">
                  <c:v>Mining</c:v>
                </c:pt>
                <c:pt idx="5">
                  <c:v>Construction</c:v>
                </c:pt>
                <c:pt idx="6">
                  <c:v>Health care</c:v>
                </c:pt>
                <c:pt idx="7">
                  <c:v>Financial sector</c:v>
                </c:pt>
                <c:pt idx="8">
                  <c:v>Tourism</c:v>
                </c:pt>
                <c:pt idx="9">
                  <c:v>Services</c:v>
                </c:pt>
                <c:pt idx="10">
                  <c:v>Trade</c:v>
                </c:pt>
                <c:pt idx="11">
                  <c:v>Manufacturing</c:v>
                </c:pt>
                <c:pt idx="12">
                  <c:v>Agriculture</c:v>
                </c:pt>
              </c:strCache>
            </c:strRef>
          </c:cat>
          <c:val>
            <c:numRef>
              <c:f>'Analytics 3'!$F$63:$F$75</c:f>
              <c:numCache>
                <c:formatCode>0%</c:formatCode>
                <c:ptCount val="13"/>
                <c:pt idx="0">
                  <c:v>3.8461538461538464E-2</c:v>
                </c:pt>
                <c:pt idx="1">
                  <c:v>4.807692307692308E-2</c:v>
                </c:pt>
                <c:pt idx="2">
                  <c:v>6.7307692307692304E-2</c:v>
                </c:pt>
                <c:pt idx="3">
                  <c:v>7.6923076923076927E-2</c:v>
                </c:pt>
                <c:pt idx="4">
                  <c:v>0.10576923076923077</c:v>
                </c:pt>
                <c:pt idx="5">
                  <c:v>0.11538461538461539</c:v>
                </c:pt>
                <c:pt idx="6">
                  <c:v>0.13461538461538461</c:v>
                </c:pt>
                <c:pt idx="7">
                  <c:v>0.15384615384615385</c:v>
                </c:pt>
                <c:pt idx="8">
                  <c:v>0.17307692307692307</c:v>
                </c:pt>
                <c:pt idx="9">
                  <c:v>0.21153846153846154</c:v>
                </c:pt>
                <c:pt idx="10">
                  <c:v>0.22115384615384615</c:v>
                </c:pt>
                <c:pt idx="11">
                  <c:v>0.39423076923076922</c:v>
                </c:pt>
                <c:pt idx="12">
                  <c:v>0.70192307692307687</c:v>
                </c:pt>
              </c:numCache>
            </c:numRef>
          </c:val>
          <c:extLst>
            <c:ext xmlns:c16="http://schemas.microsoft.com/office/drawing/2014/chart" uri="{C3380CC4-5D6E-409C-BE32-E72D297353CC}">
              <c16:uniqueId val="{00000001-4676-49B9-BC32-916DD1F78759}"/>
            </c:ext>
          </c:extLst>
        </c:ser>
        <c:dLbls>
          <c:dLblPos val="outEnd"/>
          <c:showLegendKey val="0"/>
          <c:showVal val="1"/>
          <c:showCatName val="0"/>
          <c:showSerName val="0"/>
          <c:showPercent val="0"/>
          <c:showBubbleSize val="0"/>
        </c:dLbls>
        <c:gapWidth val="182"/>
        <c:axId val="1810763967"/>
        <c:axId val="1814668143"/>
      </c:barChart>
      <c:catAx>
        <c:axId val="18107639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4668143"/>
        <c:crosses val="autoZero"/>
        <c:auto val="1"/>
        <c:lblAlgn val="ctr"/>
        <c:lblOffset val="100"/>
        <c:noMultiLvlLbl val="0"/>
      </c:catAx>
      <c:valAx>
        <c:axId val="1814668143"/>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de-DE" sz="1100" b="0" i="0" baseline="0">
                    <a:effectLst/>
                  </a:rPr>
                  <a:t>% of MSME financing policies that target the respective sector</a:t>
                </a:r>
                <a:endParaRPr lang="en-US"/>
              </a:p>
            </c:rich>
          </c:tx>
          <c:layout>
            <c:manualLayout>
              <c:xMode val="edge"/>
              <c:yMode val="edge"/>
              <c:x val="0.3128329839905899"/>
              <c:y val="0.83086446852852058"/>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07639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51073955945377"/>
          <c:y val="7.6009229707082238E-2"/>
          <c:w val="0.74867061593936268"/>
          <c:h val="0.74569693275354543"/>
        </c:manualLayout>
      </c:layout>
      <c:barChart>
        <c:barDir val="bar"/>
        <c:grouping val="clustered"/>
        <c:varyColors val="0"/>
        <c:ser>
          <c:idx val="0"/>
          <c:order val="0"/>
          <c:tx>
            <c:strRef>
              <c:f>'Analytics 3'!$I$65</c:f>
              <c:strCache>
                <c:ptCount val="1"/>
                <c:pt idx="0">
                  <c:v>Upper-middle-income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3'!$H$66:$H$78</c:f>
              <c:strCache>
                <c:ptCount val="13"/>
                <c:pt idx="0">
                  <c:v>Transport</c:v>
                </c:pt>
                <c:pt idx="1">
                  <c:v>Energy</c:v>
                </c:pt>
                <c:pt idx="2">
                  <c:v>Digital economy</c:v>
                </c:pt>
                <c:pt idx="3">
                  <c:v>Informal sector</c:v>
                </c:pt>
                <c:pt idx="4">
                  <c:v>Mining</c:v>
                </c:pt>
                <c:pt idx="5">
                  <c:v>Construction</c:v>
                </c:pt>
                <c:pt idx="6">
                  <c:v>Health care</c:v>
                </c:pt>
                <c:pt idx="7">
                  <c:v>Financial sector</c:v>
                </c:pt>
                <c:pt idx="8">
                  <c:v>Tourism</c:v>
                </c:pt>
                <c:pt idx="9">
                  <c:v>Services</c:v>
                </c:pt>
                <c:pt idx="10">
                  <c:v>Trade</c:v>
                </c:pt>
                <c:pt idx="11">
                  <c:v>Manufacturing</c:v>
                </c:pt>
                <c:pt idx="12">
                  <c:v>Agriculture</c:v>
                </c:pt>
              </c:strCache>
            </c:strRef>
          </c:cat>
          <c:val>
            <c:numRef>
              <c:f>'Analytics 3'!$I$66:$I$78</c:f>
              <c:numCache>
                <c:formatCode>0%</c:formatCode>
                <c:ptCount val="13"/>
                <c:pt idx="0">
                  <c:v>0.11764705882352941</c:v>
                </c:pt>
                <c:pt idx="1">
                  <c:v>0</c:v>
                </c:pt>
                <c:pt idx="2">
                  <c:v>0</c:v>
                </c:pt>
                <c:pt idx="3">
                  <c:v>0.23529411764705882</c:v>
                </c:pt>
                <c:pt idx="4">
                  <c:v>0</c:v>
                </c:pt>
                <c:pt idx="5">
                  <c:v>0.23529411764705882</c:v>
                </c:pt>
                <c:pt idx="6">
                  <c:v>0</c:v>
                </c:pt>
                <c:pt idx="7">
                  <c:v>0</c:v>
                </c:pt>
                <c:pt idx="8">
                  <c:v>0.17647058823529413</c:v>
                </c:pt>
                <c:pt idx="9">
                  <c:v>0.29411764705882354</c:v>
                </c:pt>
                <c:pt idx="10">
                  <c:v>0.11764705882352941</c:v>
                </c:pt>
                <c:pt idx="11">
                  <c:v>0.35294117647058826</c:v>
                </c:pt>
                <c:pt idx="12">
                  <c:v>0.47058823529411764</c:v>
                </c:pt>
              </c:numCache>
            </c:numRef>
          </c:val>
          <c:extLst>
            <c:ext xmlns:c16="http://schemas.microsoft.com/office/drawing/2014/chart" uri="{C3380CC4-5D6E-409C-BE32-E72D297353CC}">
              <c16:uniqueId val="{00000000-A4F8-41AD-A7F5-A623E5D874D4}"/>
            </c:ext>
          </c:extLst>
        </c:ser>
        <c:ser>
          <c:idx val="1"/>
          <c:order val="1"/>
          <c:tx>
            <c:strRef>
              <c:f>'Analytics 3'!$J$65</c:f>
              <c:strCache>
                <c:ptCount val="1"/>
                <c:pt idx="0">
                  <c:v>All income groups</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3'!$H$66:$H$78</c:f>
              <c:strCache>
                <c:ptCount val="13"/>
                <c:pt idx="0">
                  <c:v>Transport</c:v>
                </c:pt>
                <c:pt idx="1">
                  <c:v>Energy</c:v>
                </c:pt>
                <c:pt idx="2">
                  <c:v>Digital economy</c:v>
                </c:pt>
                <c:pt idx="3">
                  <c:v>Informal sector</c:v>
                </c:pt>
                <c:pt idx="4">
                  <c:v>Mining</c:v>
                </c:pt>
                <c:pt idx="5">
                  <c:v>Construction</c:v>
                </c:pt>
                <c:pt idx="6">
                  <c:v>Health care</c:v>
                </c:pt>
                <c:pt idx="7">
                  <c:v>Financial sector</c:v>
                </c:pt>
                <c:pt idx="8">
                  <c:v>Tourism</c:v>
                </c:pt>
                <c:pt idx="9">
                  <c:v>Services</c:v>
                </c:pt>
                <c:pt idx="10">
                  <c:v>Trade</c:v>
                </c:pt>
                <c:pt idx="11">
                  <c:v>Manufacturing</c:v>
                </c:pt>
                <c:pt idx="12">
                  <c:v>Agriculture</c:v>
                </c:pt>
              </c:strCache>
            </c:strRef>
          </c:cat>
          <c:val>
            <c:numRef>
              <c:f>'Analytics 3'!$J$66:$J$78</c:f>
              <c:numCache>
                <c:formatCode>0%</c:formatCode>
                <c:ptCount val="13"/>
                <c:pt idx="0">
                  <c:v>3.8461538461538464E-2</c:v>
                </c:pt>
                <c:pt idx="1">
                  <c:v>4.807692307692308E-2</c:v>
                </c:pt>
                <c:pt idx="2">
                  <c:v>6.7307692307692304E-2</c:v>
                </c:pt>
                <c:pt idx="3">
                  <c:v>7.6923076923076927E-2</c:v>
                </c:pt>
                <c:pt idx="4">
                  <c:v>0.10576923076923077</c:v>
                </c:pt>
                <c:pt idx="5">
                  <c:v>0.11538461538461539</c:v>
                </c:pt>
                <c:pt idx="6">
                  <c:v>0.13461538461538461</c:v>
                </c:pt>
                <c:pt idx="7">
                  <c:v>0.15384615384615385</c:v>
                </c:pt>
                <c:pt idx="8">
                  <c:v>0.17307692307692307</c:v>
                </c:pt>
                <c:pt idx="9">
                  <c:v>0.21153846153846154</c:v>
                </c:pt>
                <c:pt idx="10">
                  <c:v>0.22115384615384615</c:v>
                </c:pt>
                <c:pt idx="11">
                  <c:v>0.39423076923076922</c:v>
                </c:pt>
                <c:pt idx="12">
                  <c:v>0.70192307692307687</c:v>
                </c:pt>
              </c:numCache>
            </c:numRef>
          </c:val>
          <c:extLst>
            <c:ext xmlns:c16="http://schemas.microsoft.com/office/drawing/2014/chart" uri="{C3380CC4-5D6E-409C-BE32-E72D297353CC}">
              <c16:uniqueId val="{00000001-A4F8-41AD-A7F5-A623E5D874D4}"/>
            </c:ext>
          </c:extLst>
        </c:ser>
        <c:dLbls>
          <c:dLblPos val="outEnd"/>
          <c:showLegendKey val="0"/>
          <c:showVal val="1"/>
          <c:showCatName val="0"/>
          <c:showSerName val="0"/>
          <c:showPercent val="0"/>
          <c:showBubbleSize val="0"/>
        </c:dLbls>
        <c:gapWidth val="182"/>
        <c:axId val="1811069567"/>
        <c:axId val="1810354527"/>
      </c:barChart>
      <c:catAx>
        <c:axId val="1811069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0354527"/>
        <c:crosses val="autoZero"/>
        <c:auto val="1"/>
        <c:lblAlgn val="ctr"/>
        <c:lblOffset val="100"/>
        <c:noMultiLvlLbl val="0"/>
      </c:catAx>
      <c:valAx>
        <c:axId val="1810354527"/>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de-DE" sz="1000" b="0" i="0" baseline="0">
                    <a:effectLst/>
                  </a:rPr>
                  <a:t>% of MSME financing policies that target the respective sector</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0695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77615298087738"/>
          <c:y val="9.0839714001267086E-2"/>
          <c:w val="0.77157476368085565"/>
          <c:h val="0.73668663830814252"/>
        </c:manualLayout>
      </c:layout>
      <c:barChart>
        <c:barDir val="bar"/>
        <c:grouping val="clustered"/>
        <c:varyColors val="0"/>
        <c:ser>
          <c:idx val="0"/>
          <c:order val="0"/>
          <c:tx>
            <c:strRef>
              <c:f>'Analytics 3'!$M$64</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3'!$L$65:$L$78</c:f>
              <c:strCache>
                <c:ptCount val="14"/>
                <c:pt idx="0">
                  <c:v>Target sector</c:v>
                </c:pt>
                <c:pt idx="1">
                  <c:v>Transport</c:v>
                </c:pt>
                <c:pt idx="2">
                  <c:v>Energy</c:v>
                </c:pt>
                <c:pt idx="3">
                  <c:v>Digital economy</c:v>
                </c:pt>
                <c:pt idx="4">
                  <c:v>Informal sector</c:v>
                </c:pt>
                <c:pt idx="5">
                  <c:v>Mining</c:v>
                </c:pt>
                <c:pt idx="6">
                  <c:v>Construction</c:v>
                </c:pt>
                <c:pt idx="7">
                  <c:v>Health care</c:v>
                </c:pt>
                <c:pt idx="8">
                  <c:v>Financial sector</c:v>
                </c:pt>
                <c:pt idx="9">
                  <c:v>Tourism</c:v>
                </c:pt>
                <c:pt idx="10">
                  <c:v>Services</c:v>
                </c:pt>
                <c:pt idx="11">
                  <c:v>Trade</c:v>
                </c:pt>
                <c:pt idx="12">
                  <c:v>Manufacturing</c:v>
                </c:pt>
                <c:pt idx="13">
                  <c:v>Agriculture</c:v>
                </c:pt>
              </c:strCache>
            </c:strRef>
          </c:cat>
          <c:val>
            <c:numRef>
              <c:f>'Analytics 3'!$M$65:$M$78</c:f>
              <c:numCache>
                <c:formatCode>0%</c:formatCode>
                <c:ptCount val="14"/>
                <c:pt idx="0" formatCode="General">
                  <c:v>0</c:v>
                </c:pt>
                <c:pt idx="1">
                  <c:v>0.1</c:v>
                </c:pt>
                <c:pt idx="2">
                  <c:v>0.05</c:v>
                </c:pt>
                <c:pt idx="3">
                  <c:v>0.1</c:v>
                </c:pt>
                <c:pt idx="4">
                  <c:v>0.15</c:v>
                </c:pt>
                <c:pt idx="5">
                  <c:v>0.1</c:v>
                </c:pt>
                <c:pt idx="6">
                  <c:v>0</c:v>
                </c:pt>
                <c:pt idx="7">
                  <c:v>0.35</c:v>
                </c:pt>
                <c:pt idx="8">
                  <c:v>0.15</c:v>
                </c:pt>
                <c:pt idx="9">
                  <c:v>0.45</c:v>
                </c:pt>
                <c:pt idx="10">
                  <c:v>0.2</c:v>
                </c:pt>
                <c:pt idx="11">
                  <c:v>0.2</c:v>
                </c:pt>
                <c:pt idx="12">
                  <c:v>0.3</c:v>
                </c:pt>
                <c:pt idx="13">
                  <c:v>0.55000000000000004</c:v>
                </c:pt>
              </c:numCache>
            </c:numRef>
          </c:val>
          <c:extLst>
            <c:ext xmlns:c16="http://schemas.microsoft.com/office/drawing/2014/chart" uri="{C3380CC4-5D6E-409C-BE32-E72D297353CC}">
              <c16:uniqueId val="{00000000-407E-46EE-8532-B2D26C43AE72}"/>
            </c:ext>
          </c:extLst>
        </c:ser>
        <c:ser>
          <c:idx val="1"/>
          <c:order val="1"/>
          <c:tx>
            <c:strRef>
              <c:f>'Analytics 3'!$N$64</c:f>
              <c:strCache>
                <c:ptCount val="1"/>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3'!$L$65:$L$78</c:f>
              <c:strCache>
                <c:ptCount val="14"/>
                <c:pt idx="0">
                  <c:v>Target sector</c:v>
                </c:pt>
                <c:pt idx="1">
                  <c:v>Transport</c:v>
                </c:pt>
                <c:pt idx="2">
                  <c:v>Energy</c:v>
                </c:pt>
                <c:pt idx="3">
                  <c:v>Digital economy</c:v>
                </c:pt>
                <c:pt idx="4">
                  <c:v>Informal sector</c:v>
                </c:pt>
                <c:pt idx="5">
                  <c:v>Mining</c:v>
                </c:pt>
                <c:pt idx="6">
                  <c:v>Construction</c:v>
                </c:pt>
                <c:pt idx="7">
                  <c:v>Health care</c:v>
                </c:pt>
                <c:pt idx="8">
                  <c:v>Financial sector</c:v>
                </c:pt>
                <c:pt idx="9">
                  <c:v>Tourism</c:v>
                </c:pt>
                <c:pt idx="10">
                  <c:v>Services</c:v>
                </c:pt>
                <c:pt idx="11">
                  <c:v>Trade</c:v>
                </c:pt>
                <c:pt idx="12">
                  <c:v>Manufacturing</c:v>
                </c:pt>
                <c:pt idx="13">
                  <c:v>Agriculture</c:v>
                </c:pt>
              </c:strCache>
            </c:strRef>
          </c:cat>
          <c:val>
            <c:numRef>
              <c:f>'Analytics 3'!$N$65:$N$78</c:f>
              <c:numCache>
                <c:formatCode>0%</c:formatCode>
                <c:ptCount val="14"/>
                <c:pt idx="0" formatCode="General">
                  <c:v>0</c:v>
                </c:pt>
                <c:pt idx="1">
                  <c:v>3.8461538461538464E-2</c:v>
                </c:pt>
                <c:pt idx="2">
                  <c:v>4.807692307692308E-2</c:v>
                </c:pt>
                <c:pt idx="3">
                  <c:v>6.7307692307692304E-2</c:v>
                </c:pt>
                <c:pt idx="4">
                  <c:v>7.6923076923076927E-2</c:v>
                </c:pt>
                <c:pt idx="5">
                  <c:v>0.10576923076923077</c:v>
                </c:pt>
                <c:pt idx="6">
                  <c:v>0.11538461538461539</c:v>
                </c:pt>
                <c:pt idx="7">
                  <c:v>0.13461538461538461</c:v>
                </c:pt>
                <c:pt idx="8">
                  <c:v>0.15384615384615385</c:v>
                </c:pt>
                <c:pt idx="9">
                  <c:v>0.17307692307692307</c:v>
                </c:pt>
                <c:pt idx="10">
                  <c:v>0.21153846153846154</c:v>
                </c:pt>
                <c:pt idx="11">
                  <c:v>0.22115384615384615</c:v>
                </c:pt>
                <c:pt idx="12">
                  <c:v>0.39423076923076922</c:v>
                </c:pt>
                <c:pt idx="13">
                  <c:v>0.70192307692307687</c:v>
                </c:pt>
              </c:numCache>
            </c:numRef>
          </c:val>
          <c:extLst>
            <c:ext xmlns:c16="http://schemas.microsoft.com/office/drawing/2014/chart" uri="{C3380CC4-5D6E-409C-BE32-E72D297353CC}">
              <c16:uniqueId val="{00000001-407E-46EE-8532-B2D26C43AE72}"/>
            </c:ext>
          </c:extLst>
        </c:ser>
        <c:dLbls>
          <c:dLblPos val="outEnd"/>
          <c:showLegendKey val="0"/>
          <c:showVal val="1"/>
          <c:showCatName val="0"/>
          <c:showSerName val="0"/>
          <c:showPercent val="0"/>
          <c:showBubbleSize val="0"/>
        </c:dLbls>
        <c:gapWidth val="182"/>
        <c:axId val="2120948831"/>
        <c:axId val="1804861759"/>
      </c:barChart>
      <c:catAx>
        <c:axId val="21209488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4861759"/>
        <c:crosses val="autoZero"/>
        <c:auto val="1"/>
        <c:lblAlgn val="ctr"/>
        <c:lblOffset val="100"/>
        <c:noMultiLvlLbl val="0"/>
      </c:catAx>
      <c:valAx>
        <c:axId val="1804861759"/>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ZA" sz="1000" b="0" i="0" baseline="0">
                    <a:effectLst/>
                  </a:rPr>
                  <a:t>% of MSME financing policies that target the respective sector</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9488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84279028708436"/>
          <c:y val="9.3434874480909591E-2"/>
          <c:w val="0.7774817102335031"/>
          <c:h val="0.71389086256666412"/>
        </c:manualLayout>
      </c:layout>
      <c:barChart>
        <c:barDir val="bar"/>
        <c:grouping val="clustered"/>
        <c:varyColors val="0"/>
        <c:ser>
          <c:idx val="0"/>
          <c:order val="0"/>
          <c:tx>
            <c:strRef>
              <c:f>'Analytics 3'!$Q$64</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3'!$P$65:$P$78</c:f>
              <c:strCache>
                <c:ptCount val="14"/>
                <c:pt idx="0">
                  <c:v>Target sector</c:v>
                </c:pt>
                <c:pt idx="1">
                  <c:v>Transport</c:v>
                </c:pt>
                <c:pt idx="2">
                  <c:v>Energy</c:v>
                </c:pt>
                <c:pt idx="3">
                  <c:v>Digital economy</c:v>
                </c:pt>
                <c:pt idx="4">
                  <c:v>Informal sector</c:v>
                </c:pt>
                <c:pt idx="5">
                  <c:v>Mining</c:v>
                </c:pt>
                <c:pt idx="6">
                  <c:v>Construction</c:v>
                </c:pt>
                <c:pt idx="7">
                  <c:v>Health care</c:v>
                </c:pt>
                <c:pt idx="8">
                  <c:v>Financial sector</c:v>
                </c:pt>
                <c:pt idx="9">
                  <c:v>Tourism</c:v>
                </c:pt>
                <c:pt idx="10">
                  <c:v>Services</c:v>
                </c:pt>
                <c:pt idx="11">
                  <c:v>Trade</c:v>
                </c:pt>
                <c:pt idx="12">
                  <c:v>Manufacturing</c:v>
                </c:pt>
                <c:pt idx="13">
                  <c:v>Agriculture</c:v>
                </c:pt>
              </c:strCache>
            </c:strRef>
          </c:cat>
          <c:val>
            <c:numRef>
              <c:f>'Analytics 3'!$Q$65:$Q$78</c:f>
              <c:numCache>
                <c:formatCode>0%</c:formatCode>
                <c:ptCount val="14"/>
                <c:pt idx="0" formatCode="General">
                  <c:v>0</c:v>
                </c:pt>
                <c:pt idx="1">
                  <c:v>2.3255813953488372E-2</c:v>
                </c:pt>
                <c:pt idx="2">
                  <c:v>6.9767441860465115E-2</c:v>
                </c:pt>
                <c:pt idx="3">
                  <c:v>6.9767441860465115E-2</c:v>
                </c:pt>
                <c:pt idx="4">
                  <c:v>6.9767441860465115E-2</c:v>
                </c:pt>
                <c:pt idx="5">
                  <c:v>4.6511627906976744E-2</c:v>
                </c:pt>
                <c:pt idx="6">
                  <c:v>4.6511627906976744E-2</c:v>
                </c:pt>
                <c:pt idx="7">
                  <c:v>9.3023255813953487E-2</c:v>
                </c:pt>
                <c:pt idx="8">
                  <c:v>0.13953488372093023</c:v>
                </c:pt>
                <c:pt idx="9">
                  <c:v>9.3023255813953487E-2</c:v>
                </c:pt>
                <c:pt idx="10">
                  <c:v>0.23255813953488372</c:v>
                </c:pt>
                <c:pt idx="11">
                  <c:v>0.20930232558139536</c:v>
                </c:pt>
                <c:pt idx="12">
                  <c:v>0.27906976744186046</c:v>
                </c:pt>
                <c:pt idx="13">
                  <c:v>0.72093023255813948</c:v>
                </c:pt>
              </c:numCache>
            </c:numRef>
          </c:val>
          <c:extLst>
            <c:ext xmlns:c16="http://schemas.microsoft.com/office/drawing/2014/chart" uri="{C3380CC4-5D6E-409C-BE32-E72D297353CC}">
              <c16:uniqueId val="{00000000-C08C-4088-929B-544C6F49ACE7}"/>
            </c:ext>
          </c:extLst>
        </c:ser>
        <c:ser>
          <c:idx val="1"/>
          <c:order val="1"/>
          <c:tx>
            <c:strRef>
              <c:f>'Analytics 3'!$R$64</c:f>
              <c:strCache>
                <c:ptCount val="1"/>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'Analytics 3'!$P$65:$P$78</c:f>
              <c:strCache>
                <c:ptCount val="14"/>
                <c:pt idx="0">
                  <c:v>Target sector</c:v>
                </c:pt>
                <c:pt idx="1">
                  <c:v>Transport</c:v>
                </c:pt>
                <c:pt idx="2">
                  <c:v>Energy</c:v>
                </c:pt>
                <c:pt idx="3">
                  <c:v>Digital economy</c:v>
                </c:pt>
                <c:pt idx="4">
                  <c:v>Informal sector</c:v>
                </c:pt>
                <c:pt idx="5">
                  <c:v>Mining</c:v>
                </c:pt>
                <c:pt idx="6">
                  <c:v>Construction</c:v>
                </c:pt>
                <c:pt idx="7">
                  <c:v>Health care</c:v>
                </c:pt>
                <c:pt idx="8">
                  <c:v>Financial sector</c:v>
                </c:pt>
                <c:pt idx="9">
                  <c:v>Tourism</c:v>
                </c:pt>
                <c:pt idx="10">
                  <c:v>Services</c:v>
                </c:pt>
                <c:pt idx="11">
                  <c:v>Trade</c:v>
                </c:pt>
                <c:pt idx="12">
                  <c:v>Manufacturing</c:v>
                </c:pt>
                <c:pt idx="13">
                  <c:v>Agriculture</c:v>
                </c:pt>
              </c:strCache>
            </c:strRef>
          </c:cat>
          <c:val>
            <c:numRef>
              <c:f>'Analytics 3'!$R$65:$R$78</c:f>
              <c:numCache>
                <c:formatCode>0%</c:formatCode>
                <c:ptCount val="14"/>
                <c:pt idx="0" formatCode="General">
                  <c:v>0</c:v>
                </c:pt>
                <c:pt idx="1">
                  <c:v>3.8461538461538464E-2</c:v>
                </c:pt>
                <c:pt idx="2">
                  <c:v>4.807692307692308E-2</c:v>
                </c:pt>
                <c:pt idx="3">
                  <c:v>6.7307692307692304E-2</c:v>
                </c:pt>
                <c:pt idx="4">
                  <c:v>7.6923076923076927E-2</c:v>
                </c:pt>
                <c:pt idx="5">
                  <c:v>0.10576923076923077</c:v>
                </c:pt>
                <c:pt idx="6">
                  <c:v>0.11538461538461539</c:v>
                </c:pt>
                <c:pt idx="7">
                  <c:v>0.13461538461538461</c:v>
                </c:pt>
                <c:pt idx="8">
                  <c:v>0.15384615384615385</c:v>
                </c:pt>
                <c:pt idx="9">
                  <c:v>0.17307692307692307</c:v>
                </c:pt>
                <c:pt idx="10">
                  <c:v>0.21153846153846154</c:v>
                </c:pt>
                <c:pt idx="11">
                  <c:v>0.22115384615384615</c:v>
                </c:pt>
                <c:pt idx="12">
                  <c:v>0.39423076923076922</c:v>
                </c:pt>
                <c:pt idx="13">
                  <c:v>0.70192307692307687</c:v>
                </c:pt>
              </c:numCache>
            </c:numRef>
          </c:val>
          <c:extLst>
            <c:ext xmlns:c16="http://schemas.microsoft.com/office/drawing/2014/chart" uri="{C3380CC4-5D6E-409C-BE32-E72D297353CC}">
              <c16:uniqueId val="{00000001-C08C-4088-929B-544C6F49ACE7}"/>
            </c:ext>
          </c:extLst>
        </c:ser>
        <c:dLbls>
          <c:dLblPos val="outEnd"/>
          <c:showLegendKey val="0"/>
          <c:showVal val="1"/>
          <c:showCatName val="0"/>
          <c:showSerName val="0"/>
          <c:showPercent val="0"/>
          <c:showBubbleSize val="0"/>
        </c:dLbls>
        <c:gapWidth val="182"/>
        <c:axId val="1964577519"/>
        <c:axId val="1723303023"/>
      </c:barChart>
      <c:catAx>
        <c:axId val="196457751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Target</a:t>
                </a:r>
                <a:r>
                  <a:rPr lang="en-US" baseline="0"/>
                  <a:t> Sectors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3303023"/>
        <c:crosses val="autoZero"/>
        <c:auto val="1"/>
        <c:lblAlgn val="ctr"/>
        <c:lblOffset val="100"/>
        <c:noMultiLvlLbl val="0"/>
      </c:catAx>
      <c:valAx>
        <c:axId val="1723303023"/>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ZA" sz="1000" b="0" i="0" baseline="0">
                    <a:effectLst/>
                  </a:rPr>
                  <a:t>% of MSME financing policies that target the respective sector</a:t>
                </a:r>
              </a:p>
            </c:rich>
          </c:tx>
          <c:layout>
            <c:manualLayout>
              <c:xMode val="edge"/>
              <c:yMode val="edge"/>
              <c:x val="0.31556963952588862"/>
              <c:y val="0.85433913626885993"/>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45775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18</xdr:row>
      <xdr:rowOff>133350</xdr:rowOff>
    </xdr:from>
    <xdr:to>
      <xdr:col>7</xdr:col>
      <xdr:colOff>962025</xdr:colOff>
      <xdr:row>33</xdr:row>
      <xdr:rowOff>0</xdr:rowOff>
    </xdr:to>
    <xdr:graphicFrame macro="">
      <xdr:nvGraphicFramePr>
        <xdr:cNvPr id="2" name="Chart 4">
          <a:extLst>
            <a:ext uri="{FF2B5EF4-FFF2-40B4-BE49-F238E27FC236}">
              <a16:creationId xmlns:a16="http://schemas.microsoft.com/office/drawing/2014/main" id="{8D5B2DD5-6935-48A1-8F0A-0E99C3A73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85</xdr:row>
      <xdr:rowOff>0</xdr:rowOff>
    </xdr:from>
    <xdr:to>
      <xdr:col>8</xdr:col>
      <xdr:colOff>19050</xdr:colOff>
      <xdr:row>113</xdr:row>
      <xdr:rowOff>95250</xdr:rowOff>
    </xdr:to>
    <xdr:graphicFrame macro="">
      <xdr:nvGraphicFramePr>
        <xdr:cNvPr id="3" name="Chart 6">
          <a:extLst>
            <a:ext uri="{FF2B5EF4-FFF2-40B4-BE49-F238E27FC236}">
              <a16:creationId xmlns:a16="http://schemas.microsoft.com/office/drawing/2014/main" id="{5C8F708B-50EA-46CC-89BA-304801833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1362075</xdr:colOff>
      <xdr:row>85</xdr:row>
      <xdr:rowOff>114299</xdr:rowOff>
    </xdr:from>
    <xdr:to>
      <xdr:col>17</xdr:col>
      <xdr:colOff>714375</xdr:colOff>
      <xdr:row>112</xdr:row>
      <xdr:rowOff>57150</xdr:rowOff>
    </xdr:to>
    <xdr:graphicFrame macro="">
      <xdr:nvGraphicFramePr>
        <xdr:cNvPr id="4" name="Chart 8">
          <a:extLst>
            <a:ext uri="{FF2B5EF4-FFF2-40B4-BE49-F238E27FC236}">
              <a16:creationId xmlns:a16="http://schemas.microsoft.com/office/drawing/2014/main" id="{F24A9FB9-9117-4F9F-AAB9-21A057AEE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116</xdr:row>
      <xdr:rowOff>171450</xdr:rowOff>
    </xdr:from>
    <xdr:to>
      <xdr:col>7</xdr:col>
      <xdr:colOff>1314450</xdr:colOff>
      <xdr:row>142</xdr:row>
      <xdr:rowOff>167693</xdr:rowOff>
    </xdr:to>
    <xdr:graphicFrame macro="">
      <xdr:nvGraphicFramePr>
        <xdr:cNvPr id="5" name="Chart 9">
          <a:extLst>
            <a:ext uri="{FF2B5EF4-FFF2-40B4-BE49-F238E27FC236}">
              <a16:creationId xmlns:a16="http://schemas.microsoft.com/office/drawing/2014/main" id="{B04E092E-B210-443C-896E-F9E6EE7BA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123825</xdr:colOff>
      <xdr:row>117</xdr:row>
      <xdr:rowOff>171450</xdr:rowOff>
    </xdr:from>
    <xdr:to>
      <xdr:col>16</xdr:col>
      <xdr:colOff>570366</xdr:colOff>
      <xdr:row>141</xdr:row>
      <xdr:rowOff>114300</xdr:rowOff>
    </xdr:to>
    <xdr:graphicFrame macro="">
      <xdr:nvGraphicFramePr>
        <xdr:cNvPr id="6" name="Chart 10">
          <a:extLst>
            <a:ext uri="{FF2B5EF4-FFF2-40B4-BE49-F238E27FC236}">
              <a16:creationId xmlns:a16="http://schemas.microsoft.com/office/drawing/2014/main" id="{46621EC1-B929-49BD-B87B-5B7B44C5E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153</xdr:row>
      <xdr:rowOff>171450</xdr:rowOff>
    </xdr:from>
    <xdr:to>
      <xdr:col>7</xdr:col>
      <xdr:colOff>1333501</xdr:colOff>
      <xdr:row>177</xdr:row>
      <xdr:rowOff>57927</xdr:rowOff>
    </xdr:to>
    <xdr:graphicFrame macro="">
      <xdr:nvGraphicFramePr>
        <xdr:cNvPr id="7" name="Chart 17">
          <a:extLst>
            <a:ext uri="{FF2B5EF4-FFF2-40B4-BE49-F238E27FC236}">
              <a16:creationId xmlns:a16="http://schemas.microsoft.com/office/drawing/2014/main" id="{BB590652-9344-4BD1-ADF0-DD2327B8D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38100</xdr:colOff>
      <xdr:row>153</xdr:row>
      <xdr:rowOff>38100</xdr:rowOff>
    </xdr:from>
    <xdr:to>
      <xdr:col>18</xdr:col>
      <xdr:colOff>444500</xdr:colOff>
      <xdr:row>177</xdr:row>
      <xdr:rowOff>8163</xdr:rowOff>
    </xdr:to>
    <xdr:graphicFrame macro="">
      <xdr:nvGraphicFramePr>
        <xdr:cNvPr id="8" name="Chart 20">
          <a:extLst>
            <a:ext uri="{FF2B5EF4-FFF2-40B4-BE49-F238E27FC236}">
              <a16:creationId xmlns:a16="http://schemas.microsoft.com/office/drawing/2014/main" id="{988B56D1-A041-4087-8B85-447E6BFEA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179</xdr:row>
      <xdr:rowOff>152400</xdr:rowOff>
    </xdr:from>
    <xdr:to>
      <xdr:col>8</xdr:col>
      <xdr:colOff>217714</xdr:colOff>
      <xdr:row>204</xdr:row>
      <xdr:rowOff>9524</xdr:rowOff>
    </xdr:to>
    <xdr:graphicFrame macro="">
      <xdr:nvGraphicFramePr>
        <xdr:cNvPr id="9" name="Chart 22">
          <a:extLst>
            <a:ext uri="{FF2B5EF4-FFF2-40B4-BE49-F238E27FC236}">
              <a16:creationId xmlns:a16="http://schemas.microsoft.com/office/drawing/2014/main" id="{71595120-1D59-42BC-B6C6-31DAAFDAC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485775</xdr:colOff>
      <xdr:row>179</xdr:row>
      <xdr:rowOff>171450</xdr:rowOff>
    </xdr:from>
    <xdr:to>
      <xdr:col>17</xdr:col>
      <xdr:colOff>39331</xdr:colOff>
      <xdr:row>205</xdr:row>
      <xdr:rowOff>38100</xdr:rowOff>
    </xdr:to>
    <xdr:graphicFrame macro="">
      <xdr:nvGraphicFramePr>
        <xdr:cNvPr id="10" name="Chart 23">
          <a:extLst>
            <a:ext uri="{FF2B5EF4-FFF2-40B4-BE49-F238E27FC236}">
              <a16:creationId xmlns:a16="http://schemas.microsoft.com/office/drawing/2014/main" id="{8EFC6D3A-A1C1-4079-8281-07D2734BD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161925</xdr:colOff>
      <xdr:row>207</xdr:row>
      <xdr:rowOff>161925</xdr:rowOff>
    </xdr:from>
    <xdr:to>
      <xdr:col>7</xdr:col>
      <xdr:colOff>323850</xdr:colOff>
      <xdr:row>228</xdr:row>
      <xdr:rowOff>32268</xdr:rowOff>
    </xdr:to>
    <xdr:graphicFrame macro="">
      <xdr:nvGraphicFramePr>
        <xdr:cNvPr id="11" name="Chart 11">
          <a:extLst>
            <a:ext uri="{FF2B5EF4-FFF2-40B4-BE49-F238E27FC236}">
              <a16:creationId xmlns:a16="http://schemas.microsoft.com/office/drawing/2014/main" id="{AD06E27D-99FD-4899-82BD-E11EEF576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1200150</xdr:colOff>
      <xdr:row>208</xdr:row>
      <xdr:rowOff>123825</xdr:rowOff>
    </xdr:from>
    <xdr:to>
      <xdr:col>15</xdr:col>
      <xdr:colOff>600075</xdr:colOff>
      <xdr:row>227</xdr:row>
      <xdr:rowOff>19050</xdr:rowOff>
    </xdr:to>
    <xdr:graphicFrame macro="">
      <xdr:nvGraphicFramePr>
        <xdr:cNvPr id="12" name="Chart 12">
          <a:extLst>
            <a:ext uri="{FF2B5EF4-FFF2-40B4-BE49-F238E27FC236}">
              <a16:creationId xmlns:a16="http://schemas.microsoft.com/office/drawing/2014/main" id="{AFBCFD82-F21B-46CF-A4C6-40C75A352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231</xdr:row>
      <xdr:rowOff>0</xdr:rowOff>
    </xdr:from>
    <xdr:to>
      <xdr:col>7</xdr:col>
      <xdr:colOff>1028700</xdr:colOff>
      <xdr:row>256</xdr:row>
      <xdr:rowOff>76202</xdr:rowOff>
    </xdr:to>
    <xdr:graphicFrame macro="">
      <xdr:nvGraphicFramePr>
        <xdr:cNvPr id="13" name="Chart 13">
          <a:extLst>
            <a:ext uri="{FF2B5EF4-FFF2-40B4-BE49-F238E27FC236}">
              <a16:creationId xmlns:a16="http://schemas.microsoft.com/office/drawing/2014/main" id="{856FA11E-0128-4AA2-BC5F-9EE15FFAE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1343025</xdr:colOff>
      <xdr:row>230</xdr:row>
      <xdr:rowOff>133350</xdr:rowOff>
    </xdr:from>
    <xdr:to>
      <xdr:col>16</xdr:col>
      <xdr:colOff>342900</xdr:colOff>
      <xdr:row>256</xdr:row>
      <xdr:rowOff>19051</xdr:rowOff>
    </xdr:to>
    <xdr:graphicFrame macro="">
      <xdr:nvGraphicFramePr>
        <xdr:cNvPr id="14" name="Chart 14">
          <a:extLst>
            <a:ext uri="{FF2B5EF4-FFF2-40B4-BE49-F238E27FC236}">
              <a16:creationId xmlns:a16="http://schemas.microsoft.com/office/drawing/2014/main" id="{1907BA8D-C914-4F5E-A7E7-E2B6ABBF3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19050</xdr:colOff>
      <xdr:row>265</xdr:row>
      <xdr:rowOff>9525</xdr:rowOff>
    </xdr:from>
    <xdr:to>
      <xdr:col>7</xdr:col>
      <xdr:colOff>631889</xdr:colOff>
      <xdr:row>285</xdr:row>
      <xdr:rowOff>54233</xdr:rowOff>
    </xdr:to>
    <xdr:graphicFrame macro="">
      <xdr:nvGraphicFramePr>
        <xdr:cNvPr id="15" name="Chart 34">
          <a:extLst>
            <a:ext uri="{FF2B5EF4-FFF2-40B4-BE49-F238E27FC236}">
              <a16:creationId xmlns:a16="http://schemas.microsoft.com/office/drawing/2014/main" id="{007588BC-7B7B-4430-9F3E-E2A47DC39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933450</xdr:colOff>
      <xdr:row>265</xdr:row>
      <xdr:rowOff>9526</xdr:rowOff>
    </xdr:from>
    <xdr:to>
      <xdr:col>17</xdr:col>
      <xdr:colOff>38100</xdr:colOff>
      <xdr:row>285</xdr:row>
      <xdr:rowOff>104776</xdr:rowOff>
    </xdr:to>
    <xdr:graphicFrame macro="">
      <xdr:nvGraphicFramePr>
        <xdr:cNvPr id="16" name="Chart 27">
          <a:extLst>
            <a:ext uri="{FF2B5EF4-FFF2-40B4-BE49-F238E27FC236}">
              <a16:creationId xmlns:a16="http://schemas.microsoft.com/office/drawing/2014/main" id="{5BD90850-B472-4624-A86C-AE46853FD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76200</xdr:colOff>
      <xdr:row>287</xdr:row>
      <xdr:rowOff>19050</xdr:rowOff>
    </xdr:from>
    <xdr:to>
      <xdr:col>7</xdr:col>
      <xdr:colOff>974790</xdr:colOff>
      <xdr:row>308</xdr:row>
      <xdr:rowOff>112162</xdr:rowOff>
    </xdr:to>
    <xdr:graphicFrame macro="">
      <xdr:nvGraphicFramePr>
        <xdr:cNvPr id="17" name="Chart 28">
          <a:extLst>
            <a:ext uri="{FF2B5EF4-FFF2-40B4-BE49-F238E27FC236}">
              <a16:creationId xmlns:a16="http://schemas.microsoft.com/office/drawing/2014/main" id="{16AD1387-7689-41F3-8B06-64D07AEE7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1143000</xdr:colOff>
      <xdr:row>286</xdr:row>
      <xdr:rowOff>95250</xdr:rowOff>
    </xdr:from>
    <xdr:to>
      <xdr:col>16</xdr:col>
      <xdr:colOff>19568</xdr:colOff>
      <xdr:row>308</xdr:row>
      <xdr:rowOff>59872</xdr:rowOff>
    </xdr:to>
    <xdr:graphicFrame macro="">
      <xdr:nvGraphicFramePr>
        <xdr:cNvPr id="18" name="Chart 29">
          <a:extLst>
            <a:ext uri="{FF2B5EF4-FFF2-40B4-BE49-F238E27FC236}">
              <a16:creationId xmlns:a16="http://schemas.microsoft.com/office/drawing/2014/main" id="{C42A15A4-87C3-48EB-9549-E45AEEE183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85725</xdr:colOff>
      <xdr:row>315</xdr:row>
      <xdr:rowOff>123825</xdr:rowOff>
    </xdr:from>
    <xdr:to>
      <xdr:col>7</xdr:col>
      <xdr:colOff>895350</xdr:colOff>
      <xdr:row>325</xdr:row>
      <xdr:rowOff>152400</xdr:rowOff>
    </xdr:to>
    <xdr:graphicFrame macro="">
      <xdr:nvGraphicFramePr>
        <xdr:cNvPr id="19" name="Chart 16">
          <a:extLst>
            <a:ext uri="{FF2B5EF4-FFF2-40B4-BE49-F238E27FC236}">
              <a16:creationId xmlns:a16="http://schemas.microsoft.com/office/drawing/2014/main" id="{006B2360-EC82-4FE8-8C2F-12CAB3996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114300</xdr:colOff>
      <xdr:row>38</xdr:row>
      <xdr:rowOff>123825</xdr:rowOff>
    </xdr:from>
    <xdr:to>
      <xdr:col>7</xdr:col>
      <xdr:colOff>692798</xdr:colOff>
      <xdr:row>51</xdr:row>
      <xdr:rowOff>124408</xdr:rowOff>
    </xdr:to>
    <xdr:graphicFrame macro="">
      <xdr:nvGraphicFramePr>
        <xdr:cNvPr id="20" name="Chart 30">
          <a:extLst>
            <a:ext uri="{FF2B5EF4-FFF2-40B4-BE49-F238E27FC236}">
              <a16:creationId xmlns:a16="http://schemas.microsoft.com/office/drawing/2014/main" id="{5A7BF8C5-1726-4890-AA9E-B3DD1DB57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38099</xdr:colOff>
      <xdr:row>38</xdr:row>
      <xdr:rowOff>76200</xdr:rowOff>
    </xdr:from>
    <xdr:to>
      <xdr:col>17</xdr:col>
      <xdr:colOff>28575</xdr:colOff>
      <xdr:row>51</xdr:row>
      <xdr:rowOff>171450</xdr:rowOff>
    </xdr:to>
    <xdr:graphicFrame macro="">
      <xdr:nvGraphicFramePr>
        <xdr:cNvPr id="21" name="Chart 31">
          <a:extLst>
            <a:ext uri="{FF2B5EF4-FFF2-40B4-BE49-F238E27FC236}">
              <a16:creationId xmlns:a16="http://schemas.microsoft.com/office/drawing/2014/main" id="{9ACE4F1F-6F44-40B2-97B1-CED37E548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171450</xdr:colOff>
      <xdr:row>56</xdr:row>
      <xdr:rowOff>38100</xdr:rowOff>
    </xdr:from>
    <xdr:to>
      <xdr:col>7</xdr:col>
      <xdr:colOff>466143</xdr:colOff>
      <xdr:row>73</xdr:row>
      <xdr:rowOff>180586</xdr:rowOff>
    </xdr:to>
    <xdr:graphicFrame macro="">
      <xdr:nvGraphicFramePr>
        <xdr:cNvPr id="22" name="Chart 32">
          <a:extLst>
            <a:ext uri="{FF2B5EF4-FFF2-40B4-BE49-F238E27FC236}">
              <a16:creationId xmlns:a16="http://schemas.microsoft.com/office/drawing/2014/main" id="{1552D343-1532-4AAB-86A9-D82CAA8B5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1019175</xdr:colOff>
      <xdr:row>55</xdr:row>
      <xdr:rowOff>95250</xdr:rowOff>
    </xdr:from>
    <xdr:to>
      <xdr:col>15</xdr:col>
      <xdr:colOff>394673</xdr:colOff>
      <xdr:row>73</xdr:row>
      <xdr:rowOff>76200</xdr:rowOff>
    </xdr:to>
    <xdr:graphicFrame macro="">
      <xdr:nvGraphicFramePr>
        <xdr:cNvPr id="23" name="Chart 33">
          <a:extLst>
            <a:ext uri="{FF2B5EF4-FFF2-40B4-BE49-F238E27FC236}">
              <a16:creationId xmlns:a16="http://schemas.microsoft.com/office/drawing/2014/main" id="{24ADC424-1889-44C7-87A9-72D2E0841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904875</xdr:colOff>
      <xdr:row>314</xdr:row>
      <xdr:rowOff>152400</xdr:rowOff>
    </xdr:from>
    <xdr:to>
      <xdr:col>16</xdr:col>
      <xdr:colOff>733425</xdr:colOff>
      <xdr:row>327</xdr:row>
      <xdr:rowOff>28575</xdr:rowOff>
    </xdr:to>
    <xdr:graphicFrame macro="">
      <xdr:nvGraphicFramePr>
        <xdr:cNvPr id="24" name="Chart 18">
          <a:extLst>
            <a:ext uri="{FF2B5EF4-FFF2-40B4-BE49-F238E27FC236}">
              <a16:creationId xmlns:a16="http://schemas.microsoft.com/office/drawing/2014/main" id="{1CF51FE5-90D7-491C-B6FA-CCE9973B6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133350</xdr:colOff>
      <xdr:row>329</xdr:row>
      <xdr:rowOff>95250</xdr:rowOff>
    </xdr:from>
    <xdr:to>
      <xdr:col>7</xdr:col>
      <xdr:colOff>1066800</xdr:colOff>
      <xdr:row>341</xdr:row>
      <xdr:rowOff>104775</xdr:rowOff>
    </xdr:to>
    <xdr:graphicFrame macro="">
      <xdr:nvGraphicFramePr>
        <xdr:cNvPr id="25" name="Chart 19">
          <a:extLst>
            <a:ext uri="{FF2B5EF4-FFF2-40B4-BE49-F238E27FC236}">
              <a16:creationId xmlns:a16="http://schemas.microsoft.com/office/drawing/2014/main" id="{961C2EB5-BE83-4419-936C-D304089A0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8</xdr:col>
      <xdr:colOff>285750</xdr:colOff>
      <xdr:row>329</xdr:row>
      <xdr:rowOff>123826</xdr:rowOff>
    </xdr:from>
    <xdr:to>
      <xdr:col>16</xdr:col>
      <xdr:colOff>447675</xdr:colOff>
      <xdr:row>342</xdr:row>
      <xdr:rowOff>171451</xdr:rowOff>
    </xdr:to>
    <xdr:graphicFrame macro="">
      <xdr:nvGraphicFramePr>
        <xdr:cNvPr id="26" name="Chart 21">
          <a:extLst>
            <a:ext uri="{FF2B5EF4-FFF2-40B4-BE49-F238E27FC236}">
              <a16:creationId xmlns:a16="http://schemas.microsoft.com/office/drawing/2014/main" id="{335CD65D-9823-4C2B-9BB7-33E2C4A65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0.742</cdr:x>
      <cdr:y>0.05446</cdr:y>
    </cdr:to>
    <cdr:pic>
      <cdr:nvPicPr>
        <cdr:cNvPr id="2" name="chart">
          <a:extLst xmlns:a="http://schemas.openxmlformats.org/drawingml/2006/main">
            <a:ext uri="{FF2B5EF4-FFF2-40B4-BE49-F238E27FC236}">
              <a16:creationId xmlns:a16="http://schemas.microsoft.com/office/drawing/2014/main" id="{7E7638B9-0992-435C-9959-CEFD772E8A1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5102794" cy="256054"/>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era/AppData/Local/Packages/Microsoft.MicrosoftEdge_8wekyb3d8bbwe/TempState/Downloads/MSME%20catalogue%20database_offline_0411_10_21%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Njabulo Ndaba" id="{605B4519-FDDD-417B-8539-2445BB5AC324}" userId="Njabulo Ndaba" providerId="None"/>
  <person displayName="Vera Neugebauer" id="{2C74EB46-7FAC-485A-9282-63E8BAA125B0}" userId="Vera Neugebauer" providerId="None"/>
  <person displayName="Njabulo Ndaba" id="{3266761D-73B8-46D0-B3B7-0D211BDD1D4D}" userId="njabulo@cenfri.org" providerId="PeoplePicker"/>
  <person displayName="Kinyanjui Mungai" id="{1FCEF7D1-C37D-43D2-8C7C-110C2AC3A154}" userId="Kinyanjui@cenfri.org" providerId="PeoplePicker"/>
  <person displayName="Antonia Esser" id="{F9F6ED04-04B7-4F5F-8E31-14331775E657}" userId="S::antonia@cenfri.org::66fb2729-2d09-450e-8943-4cb1aaba7f12" providerId="AD"/>
  <person displayName="Kinyanjui Mungai" id="{212790F0-9A84-4A85-8C99-6A83211831CF}" userId="S::Kinyanjui@cenfri.org::8cc0490a-78de-4a7c-b865-396c90965421" providerId="AD"/>
  <person displayName="Nik Mohd Zainul Kamarun Nik Kamil" id="{74A5C8C7-72B3-4A55-8AD9-F150433349E0}" userId="S::NikKamarun.NikKamil@afi-global.org::75d257f1-d029-4c92-8a61-c8e0a5228e2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59A383-C3A0-4E1A-95A0-D0C0DEB833A2}" name="Tabelle1" displayName="Tabelle1" ref="A4:B35" totalsRowShown="0" headerRowBorderDxfId="4" tableBorderDxfId="3" totalsRowBorderDxfId="2">
  <autoFilter ref="A4:B35" xr:uid="{CBDE43B9-904E-4C43-B71B-65D927F443FA}"/>
  <tableColumns count="2">
    <tableColumn id="1" xr3:uid="{B180A05F-7FA7-48D5-90F9-C0FD3D756E86}" name="Term" dataDxfId="1"/>
    <tableColumn id="2" xr3:uid="{6F3D5258-A807-4C03-8607-8E42B458B20A}" name="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1" dT="2020-12-10T09:22:43.76" personId="{212790F0-9A84-4A85-8C99-6A83211831CF}" id="{76113844-B619-40EF-8730-B9202B6F1BC1}">
    <text>@Njabulo Ndaba could you kindly change these into the respective target group, all the way down and just insert the equals to sign</text>
    <mentions>
      <mention mentionpersonId="{3266761D-73B8-46D0-B3B7-0D211BDD1D4D}" mentionId="{2C406392-03A0-4F4C-B273-857E61B0D53C}" startIndex="0" length="14"/>
    </mentions>
  </threadedComment>
  <threadedComment ref="F31" dT="2020-12-10T09:34:52.69" personId="{605B4519-FDDD-417B-8539-2445BB5AC324}" id="{CA297FC2-A914-4385-A075-894CAB6BD23F}" parentId="{76113844-B619-40EF-8730-B9202B6F1BC1}">
    <text>@Kinyanjui Mungai Done!</text>
    <mentions>
      <mention mentionpersonId="{1FCEF7D1-C37D-43D2-8C7C-110C2AC3A154}" mentionId="{DE93C033-C3BE-4F2A-91CF-05EB24D58736}" startIndex="0" length="17"/>
    </mentions>
  </threadedComment>
  <threadedComment ref="E184" dT="2020-12-10T10:10:09.42" personId="{212790F0-9A84-4A85-8C99-6A83211831CF}" id="{5D58AC82-7697-494F-8EB4-506A43B06A98}">
    <text>@Njabulo NdabaChange just the financing vehicle for each entry below and add the equals sign</text>
    <mentions>
      <mention mentionpersonId="{3266761D-73B8-46D0-B3B7-0D211BDD1D4D}" mentionId="{709D9FB7-C11A-4199-8C78-C61946F94ECD}" startIndex="0" length="14"/>
    </mentions>
  </threadedComment>
  <threadedComment ref="E184" dT="2020-12-10T11:05:03.17" personId="{605B4519-FDDD-417B-8539-2445BB5AC324}" id="{BE56CDA4-B83A-40B5-95BB-62EDCD8AE479}" parentId="{5D58AC82-7697-494F-8EB4-506A43B06A98}">
    <text>@Kinyanjui MungaiDone!</text>
    <mentions>
      <mention mentionpersonId="{1FCEF7D1-C37D-43D2-8C7C-110C2AC3A154}" mentionId="{0C2545FC-BAC2-4BC0-8BCF-32363ADFF623}" startIndex="0" length="1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F45" dT="2020-12-10T09:22:43.76" personId="{212790F0-9A84-4A85-8C99-6A83211831CF}" id="{40F2D0F2-4272-48C9-B6EC-7DAA1A1DED02}">
    <text>@Njabulo Ndaba could you kindly change these into the respective target group, all the way down and just insert the equals to sign</text>
    <mentions>
      <mention mentionpersonId="{3266761D-73B8-46D0-B3B7-0D211BDD1D4D}" mentionId="{BAB58D0D-6592-4C96-85FC-A5EAC03FCD9C}" startIndex="0" length="14"/>
    </mentions>
  </threadedComment>
  <threadedComment ref="F45" dT="2020-12-10T09:34:52.69" personId="{605B4519-FDDD-417B-8539-2445BB5AC324}" id="{CB964381-F83D-4B73-806D-C923F299882F}" parentId="{40F2D0F2-4272-48C9-B6EC-7DAA1A1DED02}">
    <text>@Kinyanjui Mungai Done!</text>
    <mentions>
      <mention mentionpersonId="{1FCEF7D1-C37D-43D2-8C7C-110C2AC3A154}" mentionId="{7A46C33F-03D0-4DD4-A9F8-4478F95B210E}" startIndex="0" length="17"/>
    </mentions>
  </threadedComment>
  <threadedComment ref="C57" dT="2020-12-09T07:44:24.91" personId="{212790F0-9A84-4A85-8C99-6A83211831CF}" id="{4DE650B5-65D4-458A-B05A-8D4030B959AD}">
    <text>@Njabulo Ndaba you pretty much here just need to follow what cell C29 did but a few modifications because this is a different column</text>
    <mentions>
      <mention mentionpersonId="{3266761D-73B8-46D0-B3B7-0D211BDD1D4D}" mentionId="{0F17107C-85CC-407F-8F1B-A83832579D53}" startIndex="0" length="14"/>
    </mentions>
  </threadedComment>
  <threadedComment ref="C57" dT="2020-12-09T07:59:33.39" personId="{605B4519-FDDD-417B-8539-2445BB5AC324}" id="{A828D044-FDEC-4799-8267-BC544121F388}" parentId="{4DE650B5-65D4-458A-B05A-8D4030B959AD}">
    <text>Got it, thanks!</text>
  </threadedComment>
  <threadedComment ref="C57" dT="2020-12-09T08:09:44.88" personId="{212790F0-9A84-4A85-8C99-6A83211831CF}" id="{D59395C8-ED84-4422-BEF9-58AEC576EF6E}" parentId="{4DE650B5-65D4-458A-B05A-8D4030B959AD}">
    <text>I did this one for you, just adjust the one's below</text>
  </threadedComment>
  <threadedComment ref="A58" dT="2020-12-09T07:42:40.08" personId="{212790F0-9A84-4A85-8C99-6A83211831CF}" id="{4ECB2474-064E-4E5C-A82D-C6CC79DFF2E8}">
    <text>@Njabulo Ndaba here all you have to do is just adjust for the new tab. So making it P instead of O. As well as Final MSME catalogue instead of MSME policy catalogue. Repeat the same all the way down.</text>
    <mentions>
      <mention mentionpersonId="{3266761D-73B8-46D0-B3B7-0D211BDD1D4D}" mentionId="{51342DDE-CE8A-4BBE-A19C-E8E2ED35FD78}" startIndex="0" length="14"/>
    </mentions>
  </threadedComment>
  <threadedComment ref="A58" dT="2020-12-09T07:44:46.60" personId="{605B4519-FDDD-417B-8539-2445BB5AC324}" id="{BDCD50BC-2479-4627-AB44-F5E625FFA4EC}" parentId="{4ECB2474-064E-4E5C-A82D-C6CC79DFF2E8}">
    <text>Will do so, thanks Kin!</text>
  </threadedComment>
  <threadedComment ref="C73" dT="2020-12-09T07:46:48.70" personId="{212790F0-9A84-4A85-8C99-6A83211831CF}" id="{1036AAB3-5493-4693-A77E-8B71C14F4C36}">
    <text>@Njabulo Ndaba cell C43 is a good guide as to how this can be done. Just a few modifications.</text>
    <mentions>
      <mention mentionpersonId="{3266761D-73B8-46D0-B3B7-0D211BDD1D4D}" mentionId="{465C1C14-86AC-4FF5-9947-75DC53631527}" startIndex="0" length="14"/>
    </mentions>
  </threadedComment>
  <threadedComment ref="C73" dT="2020-12-09T08:09:06.54" personId="{212790F0-9A84-4A85-8C99-6A83211831CF}" id="{4648BEA3-D19C-40D5-835A-5695F31371BD}" parentId="{1036AAB3-5493-4693-A77E-8B71C14F4C36}">
    <text>This has been done for you. Just adjust the ones below. Basically just the name of the sector needs to change</text>
  </threadedComment>
  <threadedComment ref="A74" dT="2020-12-09T07:45:58.68" personId="{212790F0-9A84-4A85-8C99-6A83211831CF}" id="{C38E5C0E-03DD-4FDB-AFB7-C6768A41B917}">
    <text>@Njabulo Ndaba here you just need to replace agriculture part with the sector on the right. Do the same all the way down. Add the equal sign when you finished</text>
    <mentions>
      <mention mentionpersonId="{3266761D-73B8-46D0-B3B7-0D211BDD1D4D}" mentionId="{17BA4DF6-92AB-4AA6-A402-519C4B3C64B9}" startIndex="0" length="14"/>
    </mentions>
  </threadedComment>
  <threadedComment ref="E74" dT="2020-12-10T10:05:49.85" personId="{212790F0-9A84-4A85-8C99-6A83211831CF}" id="{8DD392AB-DE1F-442F-97B8-A7F10C35C3D1}">
    <text>@Njabulo Ndaba please change these for each sector and add the equals when you done. I am doing this for all the Covid-19 and donor-involvement columns which have %</text>
    <mentions>
      <mention mentionpersonId="{3266761D-73B8-46D0-B3B7-0D211BDD1D4D}" mentionId="{E6F376CB-C55E-4496-86BF-C119EB73BB9D}" startIndex="0" length="14"/>
    </mentions>
  </threadedComment>
  <threadedComment ref="A91" dT="2020-12-09T07:52:54.12" personId="{212790F0-9A84-4A85-8C99-6A83211831CF}" id="{575745B6-83BA-4730-AC21-79C2836ACB6F}">
    <text>@Njabulo Ndaba here you just need to replace Credit guarantee part with the financing vehicle on the right. Do the same all the way down. Add the equal sign when you finished</text>
    <mentions>
      <mention mentionpersonId="{3266761D-73B8-46D0-B3B7-0D211BDD1D4D}" mentionId="{AF74D427-5DCD-4127-9F4D-DC6C74B230A9}" startIndex="0" length="14"/>
    </mentions>
  </threadedComment>
  <threadedComment ref="C91" dT="2020-12-09T09:52:25.43" personId="{212790F0-9A84-4A85-8C99-6A83211831CF}" id="{57E73791-6378-467A-9C03-505419D0B265}">
    <text>Basically just the name of the financing vehicle needs to change</text>
  </threadedComment>
  <threadedComment ref="C103" dT="2020-12-09T09:52:46.15" personId="{212790F0-9A84-4A85-8C99-6A83211831CF}" id="{50DA12D7-4683-49A5-915B-743FB7407B34}">
    <text>Basically just the name of the financing vehicle needs to change</text>
  </threadedComment>
  <threadedComment ref="E103" dT="2020-12-10T10:10:09.42" personId="{212790F0-9A84-4A85-8C99-6A83211831CF}" id="{E51B7E50-91C0-4C52-80F0-00F44E1DFDC3}">
    <text>@Njabulo NdabaChange just the financing vehicle for each entry below and add the equals sign</text>
    <mentions>
      <mention mentionpersonId="{3266761D-73B8-46D0-B3B7-0D211BDD1D4D}" mentionId="{71F351D2-9244-4C2A-8992-3B1262ACD96B}" startIndex="0" length="14"/>
    </mentions>
  </threadedComment>
  <threadedComment ref="E103" dT="2020-12-10T11:05:03.17" personId="{605B4519-FDDD-417B-8539-2445BB5AC324}" id="{672CD664-153C-4C96-B206-678B19CD90C8}" parentId="{E51B7E50-91C0-4C52-80F0-00F44E1DFDC3}">
    <text>@Kinyanjui MungaiDone!</text>
    <mentions>
      <mention mentionpersonId="{1FCEF7D1-C37D-43D2-8C7C-110C2AC3A154}" mentionId="{C2231AEB-5D79-4885-82A6-E346800D04F5}" startIndex="0" length="17"/>
    </mentions>
  </threadedComment>
  <threadedComment ref="C116" dT="2020-12-09T09:53:02.35" personId="{212790F0-9A84-4A85-8C99-6A83211831CF}" id="{44825C1D-AD39-4C89-A6B1-D39A16D17D26}">
    <text>Basically just the name of the enabling infrastructure needs to change</text>
  </threadedComment>
  <threadedComment ref="C128" dT="2020-12-09T09:53:52.45" personId="{212790F0-9A84-4A85-8C99-6A83211831CF}" id="{D6714BEF-82A3-461A-930B-95A2E5CD7F66}">
    <text>Basically just the name of the enabling infratructure needs to change</text>
  </threadedComment>
  <threadedComment ref="E128" dT="2020-12-10T10:15:15.65" personId="{212790F0-9A84-4A85-8C99-6A83211831CF}" id="{2D3CB42A-D306-47AF-98F0-3993D89E81C3}">
    <text>@Njabulo Ndaba adjust each row for the enabling infrastructure and add equals sign</text>
    <mentions>
      <mention mentionpersonId="{3266761D-73B8-46D0-B3B7-0D211BDD1D4D}" mentionId="{F0D8C10B-89B0-4A76-904B-C9EA1D918FEC}" startIndex="0" length="14"/>
    </mentions>
  </threadedComment>
  <threadedComment ref="E128" dT="2020-12-10T11:04:48.34" personId="{605B4519-FDDD-417B-8539-2445BB5AC324}" id="{003A6027-86ED-4E2B-8BD3-2893BF8A544D}" parentId="{2D3CB42A-D306-47AF-98F0-3993D89E81C3}">
    <text>@Kinyanjui MungaiDone!</text>
    <mentions>
      <mention mentionpersonId="{1FCEF7D1-C37D-43D2-8C7C-110C2AC3A154}" mentionId="{275397FD-A368-489A-A61E-FF3CDEC3E9AD}" startIndex="0" length="17"/>
    </mentions>
  </threadedComment>
  <threadedComment ref="C143" dT="2020-12-09T09:54:20.03" personId="{212790F0-9A84-4A85-8C99-6A83211831CF}" id="{39D6CF55-854E-45BA-9CE9-2239BA605C93}">
    <text>Basically changing the W's to U's</text>
  </threadedComment>
  <threadedComment ref="C149" dT="2020-12-09T09:54:58.13" personId="{212790F0-9A84-4A85-8C99-6A83211831CF}" id="{4293A228-3326-4601-AFE1-9C90F42810BE}">
    <text>Basically just the name of the policy type needs to change</text>
  </threadedComment>
  <threadedComment ref="C157" dT="2020-12-09T09:55:16.62" personId="{212790F0-9A84-4A85-8C99-6A83211831CF}" id="{48998074-016B-4345-A24D-FF586F2DB1D8}">
    <text>Basically just the name of the policy type needs to change</text>
  </threadedComment>
</ThreadedComments>
</file>

<file path=xl/threadedComments/threadedComment3.xml><?xml version="1.0" encoding="utf-8"?>
<ThreadedComments xmlns="http://schemas.microsoft.com/office/spreadsheetml/2018/threadedcomments" xmlns:x="http://schemas.openxmlformats.org/spreadsheetml/2006/main">
  <threadedComment ref="J5" dT="2021-01-19T16:46:24.24" personId="{2C74EB46-7FAC-485A-9282-63E8BAA125B0}" id="{5DC36C92-6DF0-49E4-90E4-D999670EE8D2}">
    <text>Definition: Development partner is supporting the respective policy. This can be through either financial or non-financial support.</text>
  </threadedComment>
  <threadedComment ref="M5" dT="2021-01-13T00:50:11.68" personId="{74A5C8C7-72B3-4A55-8AD9-F150433349E0}" id="{EFD3933C-D86A-4FDE-9912-6977291E6E64}">
    <text>I would to see the policy at startegic level and at the programme level. I reckon both intervention and facility are meant at programme level. Are these based on a Masterplan/Blueprint/Roadmap at strategic level?</text>
  </threadedComment>
  <threadedComment ref="M5" dT="2021-01-19T14:34:51.85" personId="{2C74EB46-7FAC-485A-9282-63E8BAA125B0}" id="{DC8745D2-BA76-42D7-8651-49C76BE913DE}" parentId="{EFD3933C-D86A-4FDE-9912-6977291E6E64}">
    <text>@Nik: Yes, overarching policy and policy action plan can be seen as being at a strategic level whereas policy intervention and policy facility are at programme level. I added this additional information in the definition tab. The policy intreventions and policy facilities are sometimes based on a masterplan but often they are without such a strategic element. Whether the respective policy is based on a masterplan/blueprint/roadmap and the level of detail of this strategy can be checked with column Z</text>
  </threadedComment>
  <threadedComment ref="M5" dT="2021-01-20T11:01:17.35" personId="{2C74EB46-7FAC-485A-9282-63E8BAA125B0}" id="{A13C2FC2-3A45-4113-A6C3-D3665E606DFF}" parentId="{EFD3933C-D86A-4FDE-9912-6977291E6E64}">
    <text>Comment for users: Please consult the tab "definitions" to see a list of the policy types and their corresponding definitions</text>
  </threadedComment>
  <threadedComment ref="N5" dT="2021-01-13T00:51:57.22" personId="{74A5C8C7-72B3-4A55-8AD9-F150433349E0}" id="{318F7FF2-98B7-4037-92F0-5A74EA0DC06B}">
    <text>Should have additional note on how the financing vehicle and enabling infra works, otherwise readers may get confuse</text>
  </threadedComment>
  <threadedComment ref="N5" dT="2021-01-19T14:31:06.01" personId="{2C74EB46-7FAC-485A-9282-63E8BAA125B0}" id="{E79C4B60-7840-40EF-97D7-4715F1CB9538}" parentId="{318F7FF2-98B7-4037-92F0-5A74EA0DC06B}">
    <text>@Nik: We added a comment to the column, so that the user can immediately see what is captured.</text>
  </threadedComment>
  <threadedComment ref="N5" dT="2021-01-20T10:44:32.11" personId="{2C74EB46-7FAC-485A-9282-63E8BAA125B0}" id="{6E0F76F4-6A98-41EC-9C99-00BB6E1A3FBD}" parentId="{318F7FF2-98B7-4037-92F0-5A74EA0DC06B}">
    <text>Definition of financing vehicle: direct financial assistance for MSMEs through government intervention (e.g., government loan or grant). Please consult the tab "definitions" for a list of all financing vehilces and their corresponding definitions.</text>
  </threadedComment>
  <threadedComment ref="O5" dT="2021-01-19T14:35:34.49" personId="{2C74EB46-7FAC-485A-9282-63E8BAA125B0}" id="{2A84DAE6-8CCF-4A27-AD24-98BBD888EC5E}">
    <text>Definition: tools that indirectly improve the access of MSMEs to financing by enhancing the enabling environment and financing ecosystem (e.g., capacity building of MSMEs or financial institutions, improving the regulatory environment)</text>
  </threadedComment>
  <threadedComment ref="T5" dT="2021-01-20T11:48:32.94" personId="{2C74EB46-7FAC-485A-9282-63E8BAA125B0}" id="{579B9F55-2D70-4442-8E62-CEA03FA721FE}">
    <text>Definition: This refers to whether the policy was implemented as a response to the effects of COVID-19 pandemic</text>
  </threadedComment>
  <threadedComment ref="Z5" dT="2021-02-03T11:23:42.73" personId="{F9F6ED04-04B7-4F5F-8E31-14331775E657}" id="{EC1D6DAB-1497-4B6D-91F9-8E8E56A0652C}">
    <text>Definition: This column assesses whether an action plan/strategy/roadmap exists for the respective policy and what the level of detail of that strategy is.</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17" Type="http://schemas.openxmlformats.org/officeDocument/2006/relationships/hyperlink" Target="https://adepme.sn/index.php/plateforme-covid-19/" TargetMode="External"/><Relationship Id="rId21" Type="http://schemas.openxmlformats.org/officeDocument/2006/relationships/hyperlink" Target="https://openknowledge.worldbank.org/bitstream/handle/10986/12515/687340WP0P12080INAL0Nov00printable0.pdf?sequence=1&amp;isAllowed=y" TargetMode="External"/><Relationship Id="rId42" Type="http://schemas.openxmlformats.org/officeDocument/2006/relationships/hyperlink" Target="https://www.brd.rw/brd/wp-content/uploads/2020/06/BRD_Annual_Report_2019.pdf%0ahttps:/allafrica.com/stories/201910310033.html%0ahttps:/www.newtimes.co.rw/news/three-years-how-impactful-has-export-growth-fund-been%0ahttps:/www.brd.rw/brd/proin-sodales-quam-nec-ante-sollicits/" TargetMode="External"/><Relationship Id="rId63" Type="http://schemas.openxmlformats.org/officeDocument/2006/relationships/hyperlink" Target="https://www.afdb.org/en/documents/mauritius-covid-19-crisis-response-budget-support-programme-appraisal-report" TargetMode="External"/><Relationship Id="rId84" Type="http://schemas.openxmlformats.org/officeDocument/2006/relationships/hyperlink" Target="https://www.niras.com/development-consulting/projects/pacepep-mali/" TargetMode="External"/><Relationship Id="rId138" Type="http://schemas.openxmlformats.org/officeDocument/2006/relationships/hyperlink" Target="https://www.uncdf.org/download/file/127/1744/lesothoroadmaprepropdf" TargetMode="External"/><Relationship Id="rId159" Type="http://schemas.openxmlformats.org/officeDocument/2006/relationships/hyperlink" Target="https://www.rbz.co.zw/documents/BLSS/FinancialInclusion/National-Financial-Inclusion-Strategy.pdf" TargetMode="External"/><Relationship Id="rId170" Type="http://schemas.openxmlformats.org/officeDocument/2006/relationships/hyperlink" Target="http://www.afppme.bf/" TargetMode="External"/><Relationship Id="rId191" Type="http://schemas.openxmlformats.org/officeDocument/2006/relationships/hyperlink" Target="http://documents1.worldbank.org/curated/en/695891554411693994/pdf/Tanzania-Private-Sector-Competitiveness-Project.pdf" TargetMode="External"/><Relationship Id="rId205" Type="http://schemas.openxmlformats.org/officeDocument/2006/relationships/hyperlink" Target="http://www.lea.co.bw/business-incubation-program" TargetMode="External"/><Relationship Id="rId226" Type="http://schemas.openxmlformats.org/officeDocument/2006/relationships/printerSettings" Target="../printerSettings/printerSettings3.bin"/><Relationship Id="rId107" Type="http://schemas.openxmlformats.org/officeDocument/2006/relationships/hyperlink" Target="https://www.imf.org/external/NP/prsp/2000/Uga/01/" TargetMode="External"/><Relationship Id="rId11" Type="http://schemas.openxmlformats.org/officeDocument/2006/relationships/hyperlink" Target="https://www.world-today-news.com/maroc-pme-14034-self-employed-and-project-leaders-supported-in-2019/" TargetMode="External"/><Relationship Id="rId32" Type="http://schemas.openxmlformats.org/officeDocument/2006/relationships/hyperlink" Target="https://projects.worldbank.org/en/projects-operations/project-detail/P128443?lang=en&amp;tab=map" TargetMode="External"/><Relationship Id="rId53" Type="http://schemas.openxmlformats.org/officeDocument/2006/relationships/hyperlink" Target="http://www.dbm.mu/sme-financing-scheme/" TargetMode="External"/><Relationship Id="rId74" Type="http://schemas.openxmlformats.org/officeDocument/2006/relationships/hyperlink" Target="http://www.fongip.sn/" TargetMode="External"/><Relationship Id="rId128" Type="http://schemas.openxmlformats.org/officeDocument/2006/relationships/hyperlink" Target="http://www.facra-angola.com/about-facra/" TargetMode="External"/><Relationship Id="rId149" Type="http://schemas.openxmlformats.org/officeDocument/2006/relationships/hyperlink" Target="https://www.farmsemalawi.org/about-us/" TargetMode="External"/><Relationship Id="rId5" Type="http://schemas.openxmlformats.org/officeDocument/2006/relationships/hyperlink" Target="https://www.enterprise-development.org/wp-content/uploads/ScalingUp_SME_Access_to_Financial_Services.pdf" TargetMode="External"/><Relationship Id="rId95" Type="http://schemas.openxmlformats.org/officeDocument/2006/relationships/hyperlink" Target="https://projects.worldbank.org/en/projects-operations/project-detail/p107456" TargetMode="External"/><Relationship Id="rId160" Type="http://schemas.openxmlformats.org/officeDocument/2006/relationships/hyperlink" Target="http://www.medf.mw/about/" TargetMode="External"/><Relationship Id="rId181" Type="http://schemas.openxmlformats.org/officeDocument/2006/relationships/hyperlink" Target="http://www.afppme.bf/profil/mission-objectifs" TargetMode="External"/><Relationship Id="rId216" Type="http://schemas.openxmlformats.org/officeDocument/2006/relationships/hyperlink" Target="https://allafrica.com/stories/202009170838.html" TargetMode="External"/><Relationship Id="rId22" Type="http://schemas.openxmlformats.org/officeDocument/2006/relationships/hyperlink" Target="https://www.genglobal.org/sites/default/files/IFC%2520National%2520MSME%2520strategy%2520FINAL.pdf" TargetMode="External"/><Relationship Id="rId27" Type="http://schemas.openxmlformats.org/officeDocument/2006/relationships/hyperlink" Target="http://www.servicepublic.gouv.sn/assets/textes/D-charte-pme.pdf" TargetMode="External"/><Relationship Id="rId43" Type="http://schemas.openxmlformats.org/officeDocument/2006/relationships/hyperlink" Target="https://www.infodev.org/infodev-files/web_east_africa_report.pdf%0ahttp:/www.minicom.gov.rw/index.php?id=24&amp;tx_ttnews%5btt_news%5d=260&amp;cHash=04f438311552c543f654f9c9641b753c%0ahttps://make-it-initiative.org/africa/wp-content/uploads/sites/2/2020/03/Investment_Guide_Rwanda_V2.pdf" TargetMode="External"/><Relationship Id="rId48" Type="http://schemas.openxmlformats.org/officeDocument/2006/relationships/hyperlink" Target="http://www.daily-mail.co.zm/credit-scheme-launches-business-coach/;%20https:/www.linkedin.com/company/zambia-credit-guarantee-scheme-limited/about/;%20http:/www.zcgs.co.zm/" TargetMode="External"/><Relationship Id="rId64" Type="http://schemas.openxmlformats.org/officeDocument/2006/relationships/hyperlink" Target="https://reliefweb.int/sites/reliefweb.int/files/resources/BE3D19D8FAF00F9A4925748000206C61-Full_Report.pdf" TargetMode="External"/><Relationship Id="rId69" Type="http://schemas.openxmlformats.org/officeDocument/2006/relationships/hyperlink" Target="https://www.worldbank.org/en/news/press-release/2017/11/01/somaliland-launches-flagship-job-creation-program" TargetMode="External"/><Relationship Id="rId113" Type="http://schemas.openxmlformats.org/officeDocument/2006/relationships/hyperlink" Target="https://www.presidence.dj/conseilministresuite.php?ID=7&amp;ID2=2016-03-15" TargetMode="External"/><Relationship Id="rId118" Type="http://schemas.openxmlformats.org/officeDocument/2006/relationships/hyperlink" Target="https://adepme.sn/index.php/iso-program-india-senegal-overseas/" TargetMode="External"/><Relationship Id="rId134" Type="http://schemas.openxmlformats.org/officeDocument/2006/relationships/hyperlink" Target="https://erc.undp.org/evaluation/documents/download/8859" TargetMode="External"/><Relationship Id="rId139" Type="http://schemas.openxmlformats.org/officeDocument/2006/relationships/hyperlink" Target="https://www.procom.mg/" TargetMode="External"/><Relationship Id="rId80" Type="http://schemas.openxmlformats.org/officeDocument/2006/relationships/hyperlink" Target="https://www.bna.ao/Conteudos/Temas/lista_temas.aspx?idc=145&amp;idsc=17008&amp;idl=1" TargetMode="External"/><Relationship Id="rId85" Type="http://schemas.openxmlformats.org/officeDocument/2006/relationships/hyperlink" Target="http://documents1.worldbank.org/curated/en/930571550977295030/pdf/FINAL-Morocco-FIDE-PD-DPF-P168587-Jan-23-2019-Clean-for-RVP-1-01282019-636865560830710558.pdf" TargetMode="External"/><Relationship Id="rId150" Type="http://schemas.openxmlformats.org/officeDocument/2006/relationships/hyperlink" Target="http://documents1.worldbank.org/curated/en/604841589281422920/pdf/Project-Information-Document-Financial-Inclusion-and-Entrepreneurship-Scaling-Project-P168577.pdf" TargetMode="External"/><Relationship Id="rId155" Type="http://schemas.openxmlformats.org/officeDocument/2006/relationships/hyperlink" Target="https://devtracker.fcdo.gov.uk/projects/GB-1-204911/documents" TargetMode="External"/><Relationship Id="rId171" Type="http://schemas.openxmlformats.org/officeDocument/2006/relationships/hyperlink" Target="http://www.afppme.bf/%20;%20https:/www.finances.gov.bf/forum/detail-actualites?tx_news_pi1%5Baction%5D=detail&amp;tx_news_pi1%5Bcontroller%5D=News&amp;tx_news_pi1%5Bnews%5D=182&amp;cHash=28535c87e7036940af5f5905b230839c%20;%20https://www.finances.gov.bf/fileadmin/user_upload/storage/Mecanisme_FRE_COVID_19_VF.pdf" TargetMode="External"/><Relationship Id="rId176" Type="http://schemas.openxmlformats.org/officeDocument/2006/relationships/hyperlink" Target="https://www.boz.zm/National-Financial-Inclusion-Strategy-2017-2022.pdf" TargetMode="External"/><Relationship Id="rId192" Type="http://schemas.openxmlformats.org/officeDocument/2006/relationships/hyperlink" Target="https://um.dk/~/media/um/english-site/documents/danida/about-danida/danida%20transparency/documents/u%2037/2019/pass%20tanzania.pdf?la=en%0ahttps://www.thecitizen.co.tz/supplement/PASS-Trust-celebrates-20-years-of-support-to-the-agricultural-/5043016-5615498-nsjon2z/index.html" TargetMode="External"/><Relationship Id="rId197" Type="http://schemas.openxmlformats.org/officeDocument/2006/relationships/hyperlink" Target="http://www.tzdpg.or.tz/fileadmin/documents/dpg_internal/dpg_working_groups_clusters/cluster_1/psdtrade/Documents/Draft_report_on_gurantee_schemes.pdf" TargetMode="External"/><Relationship Id="rId206" Type="http://schemas.openxmlformats.org/officeDocument/2006/relationships/hyperlink" Target="https://www.wef.co.ke/" TargetMode="External"/><Relationship Id="rId227" Type="http://schemas.openxmlformats.org/officeDocument/2006/relationships/vmlDrawing" Target="../drawings/vmlDrawing3.vml"/><Relationship Id="rId201" Type="http://schemas.openxmlformats.org/officeDocument/2006/relationships/hyperlink" Target="http://www.minicom.gov.rw/fileadmin/minicom_publications/policies/SME_Devt_policy_V180610.pdf;%20http:/www.smeportal.gov.rw/IMG/pdf/sme_business_guide-final.2-4.pdf" TargetMode="External"/><Relationship Id="rId222" Type="http://schemas.openxmlformats.org/officeDocument/2006/relationships/hyperlink" Target="https://khusoko.com/2020/09/11/kenya-cabinet-approves-establishment-of-credit-guarantee-scheme-with-ksh-10-billion-capital/;" TargetMode="External"/><Relationship Id="rId12" Type="http://schemas.openxmlformats.org/officeDocument/2006/relationships/hyperlink" Target="http://english.ahram.org.eg/NewsContent/3/12/366766/Business/Economy/Egypt%E2%80%99s-Central-Bank-suspends-IScore-lists-for-,-e.aspx" TargetMode="External"/><Relationship Id="rId17" Type="http://schemas.openxmlformats.org/officeDocument/2006/relationships/hyperlink" Target="https://projects.worldbank.org/en/projects-operations/project-detail/P148447" TargetMode="External"/><Relationship Id="rId33" Type="http://schemas.openxmlformats.org/officeDocument/2006/relationships/hyperlink" Target="https://www.linkedin.com/company/fodipgn/" TargetMode="External"/><Relationship Id="rId38" Type="http://schemas.openxmlformats.org/officeDocument/2006/relationships/hyperlink" Target="http://sinerginiger.com/programme-start-ups-et-petites-entreprises-pace/" TargetMode="External"/><Relationship Id="rId59" Type="http://schemas.openxmlformats.org/officeDocument/2006/relationships/hyperlink" Target="http://incentivesa.co.za/bbsdp-black-business-supplier-development-programme/" TargetMode="External"/><Relationship Id="rId103" Type="http://schemas.openxmlformats.org/officeDocument/2006/relationships/hyperlink" Target="https://afrikanheroes.com/2020/09/04/gabon-launches-a-new-900k-to-support-startups-and-small-businesses/" TargetMode="External"/><Relationship Id="rId108" Type="http://schemas.openxmlformats.org/officeDocument/2006/relationships/hyperlink" Target="https://www.afdb.org/fileadmin/uploads/afdb/Documents/Project-and-Operations/Uganda-_Rural_Income_and_Employment_Enhancement_Project_-_Appraisal_Report.pdf" TargetMode="External"/><Relationship Id="rId124" Type="http://schemas.openxmlformats.org/officeDocument/2006/relationships/hyperlink" Target="https://www.ao.undp.org/content/angola/en/home/operations/projects/poverty_reduction/AEP.html" TargetMode="External"/><Relationship Id="rId129" Type="http://schemas.openxmlformats.org/officeDocument/2006/relationships/hyperlink" Target="https://info.undp.org/docs/pdc/Documents/STP/POLITIQUE%20NATIONALE%20EMPLOI.pdf" TargetMode="External"/><Relationship Id="rId54" Type="http://schemas.openxmlformats.org/officeDocument/2006/relationships/hyperlink" Target="http://www.dbm.mu/wp-content/uploads/2020/03/Press_advert.pdf" TargetMode="External"/><Relationship Id="rId70" Type="http://schemas.openxmlformats.org/officeDocument/2006/relationships/hyperlink" Target="http://smefbds.com/" TargetMode="External"/><Relationship Id="rId75" Type="http://schemas.openxmlformats.org/officeDocument/2006/relationships/hyperlink" Target="http://documents1.worldbank.org/curated/en/130561596247365143/pdf/Sierra-Leone-Economic-Diversification-Project.pdf" TargetMode="External"/><Relationship Id="rId91" Type="http://schemas.openxmlformats.org/officeDocument/2006/relationships/hyperlink" Target="https://www.ugandainvest.go.ug/wp-content/uploads/2016/02/Final-MSME-Policy-July-2015.pdf" TargetMode="External"/><Relationship Id="rId96" Type="http://schemas.openxmlformats.org/officeDocument/2006/relationships/hyperlink" Target="http://www.mti.gov.na/downloads/MSME%20policy%20final.pdf" TargetMode="External"/><Relationship Id="rId140" Type="http://schemas.openxmlformats.org/officeDocument/2006/relationships/hyperlink" Target="http://www.fundei.net/index.php?option=com_content&amp;view=article&amp;id=50&amp;Itemid=54" TargetMode="External"/><Relationship Id="rId145" Type="http://schemas.openxmlformats.org/officeDocument/2006/relationships/hyperlink" Target="https://www.afdb.org/fileadmin/uploads/afdb/Documents/Procurement/Project-related-Procurement/GPN_-_Seychelles_-_Fund_for_Africa_Private_Sector_Assistance_%E2%80%93_FAPA_-_Seychelles_MSME_Development_Project_%E2%80%93_01_2015.pdf" TargetMode="External"/><Relationship Id="rId161" Type="http://schemas.openxmlformats.org/officeDocument/2006/relationships/hyperlink" Target="https://taarifa.rw/mastercard-inkomoko-earmark-us2-3m-fund-for-small-businesses/" TargetMode="External"/><Relationship Id="rId166" Type="http://schemas.openxmlformats.org/officeDocument/2006/relationships/hyperlink" Target="https://www.gouv.cf/les-ministres/93/ministre-des-petites-et-moyennes-entreprises-de-iartisanat-et-du-secteur-informel" TargetMode="External"/><Relationship Id="rId182" Type="http://schemas.openxmlformats.org/officeDocument/2006/relationships/hyperlink" Target="https://www.sefa.org.za/Content/Docs/DEPARTMENT_OF_SMALL_BUSINESS_DEVELOPMENT_ANNOUNCES_SECOND_WAVE_OF_SUPPORT_FOR_ENTERPRISES_BASED_IN_TOWNSHIPS_AND_VILLAGES.pdf" TargetMode="External"/><Relationship Id="rId187" Type="http://schemas.openxmlformats.org/officeDocument/2006/relationships/hyperlink" Target="https://investinafrica.com/uploads/covid-resources/NBSSI_%20CAP%20Business%20Support%20Scheme%20Presentation%2015-05-2020.pdf;%20https:/africabusinesscommunities.com/news/ghana-president-akufo-addo-launches-gh1-billion-cap-business-support-scheme/" TargetMode="External"/><Relationship Id="rId217" Type="http://schemas.openxmlformats.org/officeDocument/2006/relationships/hyperlink" Target="https://www.ilo.org/dyn/youthpol/fr/equest.fileutils.docHandle?p_uploaded_file_id=99" TargetMode="External"/><Relationship Id="rId1" Type="http://schemas.openxmlformats.org/officeDocument/2006/relationships/hyperlink" Target="https://www.enterprise-development.org/wp-content/uploads/ScalingUp_SME_Access_to_Financial_Services.pdf" TargetMode="External"/><Relationship Id="rId6" Type="http://schemas.openxmlformats.org/officeDocument/2006/relationships/hyperlink" Target="https://www.enterprise-development.org/wp-content/uploads/ScalingUp_SME_Access_to_Financial_Services.pdf" TargetMode="External"/><Relationship Id="rId212" Type="http://schemas.openxmlformats.org/officeDocument/2006/relationships/hyperlink" Target="https://twitter.com/NigeriaGov/status/1292774687668396033/photo/1" TargetMode="External"/><Relationship Id="rId23" Type="http://schemas.openxmlformats.org/officeDocument/2006/relationships/hyperlink" Target="http://www.fspme.agencecipme.ci/assets/doc/Ordonnance%20N%C2%B02020-384%20du%2015%20avril%202020%20portant%20creation,%20attributions,%20organisation%20et%20fonctionnement%20du%20Fonds%20de%20Soutien%20aux%20Petites%20et%20Moyennes%20Entreprises-denomm%C3%A9%20FSPME-COVID19.pdf%20;%20%20http:/www.fspme.agencecipme.ci/" TargetMode="External"/><Relationship Id="rId28" Type="http://schemas.openxmlformats.org/officeDocument/2006/relationships/hyperlink" Target="https://adepme.sn/index.php/programme-reussir/" TargetMode="External"/><Relationship Id="rId49" Type="http://schemas.openxmlformats.org/officeDocument/2006/relationships/hyperlink" Target="https://www.cbn.gov.ng/Out/2014/DFD/MSMEDF%20GUIDELINES%20%20.pdf" TargetMode="External"/><Relationship Id="rId114" Type="http://schemas.openxmlformats.org/officeDocument/2006/relationships/hyperlink" Target="https://projects.worldbank.org/en/projects-operations/project-detail/P162835" TargetMode="External"/><Relationship Id="rId119" Type="http://schemas.openxmlformats.org/officeDocument/2006/relationships/hyperlink" Target="https://adepme.sn/index.php/programme-labellisation/" TargetMode="External"/><Relationship Id="rId44" Type="http://schemas.openxmlformats.org/officeDocument/2006/relationships/hyperlink" Target="http://www.minpmeesa.gov.cm/site/inhoud/uploads/2019/01/loi-portant-promotion-des-pme-au-cameroun-_1_.pdf%20;%20http:/www.minpmeesa.gov.cm/site/pme/" TargetMode="External"/><Relationship Id="rId60" Type="http://schemas.openxmlformats.org/officeDocument/2006/relationships/hyperlink" Target="https://www.nefcorp.co.za/products-services/women-empowerment-fund/" TargetMode="External"/><Relationship Id="rId65" Type="http://schemas.openxmlformats.org/officeDocument/2006/relationships/hyperlink" Target="http://pubdocs.worldbank.org/en/551831530182402563/nfis-Liberia-2009-2013-National-Strategy-for-Financial-Inclusion.pdf" TargetMode="External"/><Relationship Id="rId81" Type="http://schemas.openxmlformats.org/officeDocument/2006/relationships/hyperlink" Target="http://www.bcstp.st/Upload/New_DOC/Rel_Inq_%20Impacto_Covid_19_Jun_%202020-1.pdf" TargetMode="External"/><Relationship Id="rId86" Type="http://schemas.openxmlformats.org/officeDocument/2006/relationships/hyperlink" Target="http://www.inieci.com/" TargetMode="External"/><Relationship Id="rId130" Type="http://schemas.openxmlformats.org/officeDocument/2006/relationships/hyperlink" Target="http://country.eiu.com/article.aspx?articleid=863453070&amp;Country=S%C3%A3o%20Tom%C3%A9%20and%20Pr%C3%ADncipe&amp;topic=Economy&amp;subtopic=Forecast&amp;subsubtopic=Policy+trends" TargetMode="External"/><Relationship Id="rId135" Type="http://schemas.openxmlformats.org/officeDocument/2006/relationships/hyperlink" Target="https://www.afdb.org/en/news-and-events/press-releases/seychelles-african-development-bank-supports-blue-economy-800k-fapa-grant-34889" TargetMode="External"/><Relationship Id="rId151" Type="http://schemas.openxmlformats.org/officeDocument/2006/relationships/hyperlink" Target="http://www.veritaszim.net/sites/veritas_d/files/Details%20on%20the%20COVID-19%20Economic%20Recovery%20and%20Stimulus%20Package.pdf" TargetMode="External"/><Relationship Id="rId156" Type="http://schemas.openxmlformats.org/officeDocument/2006/relationships/hyperlink" Target="http://www.miced.gov.zw/index.php?option=com_phocadownload&amp;view=category&amp;download=78:znidp-2019-2023&amp;id=3:zim-asset&amp;Itemid=758" TargetMode="External"/><Relationship Id="rId177" Type="http://schemas.openxmlformats.org/officeDocument/2006/relationships/hyperlink" Target="http://documents1.worldbank.org/curated/en/281071558663293548/pdf/Comoros-Integrated-Development-and-Competitiveness-Project.pdf" TargetMode="External"/><Relationship Id="rId198" Type="http://schemas.openxmlformats.org/officeDocument/2006/relationships/hyperlink" Target="http://www.kiep.go.ke/aboutkiep/" TargetMode="External"/><Relationship Id="rId172" Type="http://schemas.openxmlformats.org/officeDocument/2006/relationships/hyperlink" Target="http://www.afppme.bf/" TargetMode="External"/><Relationship Id="rId193" Type="http://schemas.openxmlformats.org/officeDocument/2006/relationships/hyperlink" Target="http://documents1.worldbank.org/curated/en/700041555503096234/pdf/Project-Information-Document-Tunisia-Innovative-Startups-and-SMEs-Project-P167380.pdf" TargetMode="External"/><Relationship Id="rId202" Type="http://schemas.openxmlformats.org/officeDocument/2006/relationships/hyperlink" Target="http://hope-mag.com/index.php?com=news&amp;option=read&amp;ca=1&amp;a=4709" TargetMode="External"/><Relationship Id="rId207" Type="http://schemas.openxmlformats.org/officeDocument/2006/relationships/hyperlink" Target="https://www.investdz.com/2019/07/presentation-sme-credit-guarantee-EN.html" TargetMode="External"/><Relationship Id="rId223" Type="http://schemas.openxmlformats.org/officeDocument/2006/relationships/hyperlink" Target="https://www.bw.undp.org/content/botswana/en/home/library/poverty/informal-sector-recovery-plan-for-botswana-2020.html" TargetMode="External"/><Relationship Id="rId228" Type="http://schemas.openxmlformats.org/officeDocument/2006/relationships/comments" Target="../comments3.xml"/><Relationship Id="rId13" Type="http://schemas.openxmlformats.org/officeDocument/2006/relationships/hyperlink" Target="https://openknowledge.worldbank.org/bitstream/handle/10986/12515/687340WP0P12080INAL0Nov00printable0.pdf?sequence=1&amp;isAllowed=y" TargetMode="External"/><Relationship Id="rId18" Type="http://schemas.openxmlformats.org/officeDocument/2006/relationships/hyperlink" Target="http://www.smeportal.gov.rw/IMG/pdf/sme_business_guide-final.2-4.pdf" TargetMode="External"/><Relationship Id="rId39" Type="http://schemas.openxmlformats.org/officeDocument/2006/relationships/hyperlink" Target="http://sinerginiger.com/programme-start-ups-et-petites-entreprises-acceleration-au-sahel/" TargetMode="External"/><Relationship Id="rId109" Type="http://schemas.openxmlformats.org/officeDocument/2006/relationships/hyperlink" Target="https://www.afdb.org/sites/all/libraries/pdf.js/web/viewer.html?file=https%3A%2F%2Fwww.afdb.org%2Fsites%2Fdefault%2Ffiles%2Fdocuments%2Fprojects-and-operations%2Fuganda_-_covid-19_crisis_response_budget_support_program_crsp_-_appraisal_report.pdf" TargetMode="External"/><Relationship Id="rId34" Type="http://schemas.openxmlformats.org/officeDocument/2006/relationships/hyperlink" Target="https://macauhub.com.mo/2015/08/07/cabo-verde-government-creates-fund-to-support-smes/" TargetMode="External"/><Relationship Id="rId50" Type="http://schemas.openxmlformats.org/officeDocument/2006/relationships/hyperlink" Target="https://www.imf.org/en/Topics/imf-and-covid19/Policy-Responses-to-COVID-19" TargetMode="External"/><Relationship Id="rId55" Type="http://schemas.openxmlformats.org/officeDocument/2006/relationships/hyperlink" Target="http://download.govmu.org/files/2016/18_Ministry%20of%20Business,%20Enterprise%20and%20Cooperatives.docx" TargetMode="External"/><Relationship Id="rId76" Type="http://schemas.openxmlformats.org/officeDocument/2006/relationships/hyperlink" Target="https://namibiadailynews.info/mitsds-equipment-aid-scheme-temporarily-halted/" TargetMode="External"/><Relationship Id="rId97" Type="http://schemas.openxmlformats.org/officeDocument/2006/relationships/hyperlink" Target="http://smebank.com.na/" TargetMode="External"/><Relationship Id="rId104" Type="http://schemas.openxmlformats.org/officeDocument/2006/relationships/hyperlink" Target="http://www.bcstp.st/Upload/Documentos/Organizacao_Documental/PADSF_Final_Dezembro2015.pdf" TargetMode="External"/><Relationship Id="rId120" Type="http://schemas.openxmlformats.org/officeDocument/2006/relationships/hyperlink" Target="https://adepme.sn/index.php/about-us/" TargetMode="External"/><Relationship Id="rId125" Type="http://schemas.openxmlformats.org/officeDocument/2006/relationships/hyperlink" Target="https://www.cabri-sbo.org/pt/documents/national-development-plan-pnd-2018-2022" TargetMode="External"/><Relationship Id="rId141" Type="http://schemas.openxmlformats.org/officeDocument/2006/relationships/hyperlink" Target="https://www.afdb.org/fileadmin/uploads/afdb/Documents/Project-and-Operations/LESOTHO1-_Approved_Economic_Diversification_Support_Project_EDSP.pdf" TargetMode="External"/><Relationship Id="rId146" Type="http://schemas.openxmlformats.org/officeDocument/2006/relationships/hyperlink" Target="https://www.cbs.sc/Downloads/covid19/PolicyMeasures/Update%20on%20Implementation%20of%20the%20Private%20Sector%20(MSMEs)%20Relief%20Scheme%20&amp;%20Private%20Sector%20(Large%20Enterprises)%20Relief%20Scheme%2030-10-2020.pdf" TargetMode="External"/><Relationship Id="rId167" Type="http://schemas.openxmlformats.org/officeDocument/2006/relationships/hyperlink" Target="https://businesspost.ng/showbiz/nigeria-begins-implementation-of-n22bn-creative-industry-scheme/" TargetMode="External"/><Relationship Id="rId188" Type="http://schemas.openxmlformats.org/officeDocument/2006/relationships/hyperlink" Target="http://www.gov.sz/images/MSME-Policy.pdf" TargetMode="External"/><Relationship Id="rId7" Type="http://schemas.openxmlformats.org/officeDocument/2006/relationships/hyperlink" Target="https://www.ceda.co.bw/" TargetMode="External"/><Relationship Id="rId71" Type="http://schemas.openxmlformats.org/officeDocument/2006/relationships/hyperlink" Target="http://documents1.worldbank.org/curated/en/267241552269666297/pdf/Project-Appraisal-Document-PAD-SCALED-UP-P168115-revised-February-26-2019-02262019-636878520441412199.pdf" TargetMode="External"/><Relationship Id="rId92" Type="http://schemas.openxmlformats.org/officeDocument/2006/relationships/hyperlink" Target="https://www.tralac.org/files/2012/12/Uganda_National-Industrial-Policy.pdf" TargetMode="External"/><Relationship Id="rId162" Type="http://schemas.openxmlformats.org/officeDocument/2006/relationships/hyperlink" Target="https://www.micf.mw/challenge-windows/innovative-finance-window" TargetMode="External"/><Relationship Id="rId183" Type="http://schemas.openxmlformats.org/officeDocument/2006/relationships/hyperlink" Target="https://www.sefa.org.za/Content/Docs/DEPARTMENT_OF_SMALL_BUSINESS_DEVELOPMENT_ANNOUNCES_SECOND_WAVE_OF_SUPPORT_FOR_ENTERPRISES_BASED_IN_TOWNSHIPS_AND_VILLAGES.pdf" TargetMode="External"/><Relationship Id="rId213" Type="http://schemas.openxmlformats.org/officeDocument/2006/relationships/hyperlink" Target="https://dailytrust.com/payroll-fund-over-400000-businesses-applied-office" TargetMode="External"/><Relationship Id="rId218" Type="http://schemas.openxmlformats.org/officeDocument/2006/relationships/hyperlink" Target="http://www.mofep.gov.gh/sites/default/files/acts/NFIDs_Report.pdf" TargetMode="External"/><Relationship Id="rId2" Type="http://schemas.openxmlformats.org/officeDocument/2006/relationships/hyperlink" Target="https://www.enterprise-development.org/wp-content/uploads/ScalingUp_SME_Access_to_Financial_Services.pdf" TargetMode="External"/><Relationship Id="rId29" Type="http://schemas.openxmlformats.org/officeDocument/2006/relationships/hyperlink" Target="http://documents1.worldbank.org/curated/en/588021537211934737/pdf/ICR00004020-09122018.pdf" TargetMode="External"/><Relationship Id="rId24" Type="http://schemas.openxmlformats.org/officeDocument/2006/relationships/hyperlink" Target="http://www.msmeda.org.eg/AboutUs.html;%0ahttp:/www.msmeda.org.eg/services_fund.html%0a;https:/www.oecd-ilibrary.org/sites/9789264304161-11-en/index.html?itemId=/content/component/9789264304161-11-en&amp;__cf_chl_jschl_tk__=468538a73f7d221d798a1d35542ac909d7067809-1605181722-0-AQpOm7tWI5X-Nr1ciFApkRNRnJSTFXbNWQrUnMCWciHBdW3BpsEUVN645Xk2DjISvFs3K0q0eUEVCogkq4Cpdlez5Wk1XbbUC7refR62caQGsxfe3jo1ef_slj8deEwt-C38SltXGNBXtpzVBzaLfFTzo6rXQ5JW9zxoyeYysOA6Xy4gOtSNnTqPP8fxtFUy7YhehZMw-eXPNPRwlmy-7cXGXqzto0H5ziPjbDGEoIPdVPlgXoQeVavK4KHjXj8LSSdC1ctcQE8ZCr576zUcL22yndT8HtFm7KCFlJL781QKqrVGOwQ8nMF8kfTpo1ij9Fv1ujtuaxicBZsMmBwlLEm3Td1Rkyr8SohYWubQEfTYaWPlt-dbMpJz3cSMTW1x0iNR1h3PWffZO2dTzWbrQO4m7JWfsFkZx3wpzhwrZiH9%0ahttps://akhbarelyom.com/news/newdetails/3148245/1/-%D8%AA%D9%86%D9%85%D9%8A%D8%A9-%D8%A7%D9%84%D9%85%D8%B4%D8%B1%D9%88%D8%B9%D8%A7%D8%AA--%D9%8A%D9%82%D8%AF%D9%85-%D8%AE%D8%AF%D9%85%D8%A7%D8%AA-%D8%BA%D9%8A%D8%B1-%D9%85%D8%A7%D9%84%D9%8A%D8%A9-%D9%84%D9%84%D8%B4%D8%A8%D8%A7%D8%A8-%D9%88%D8%B1%D9%88%D8%A7%D8%AF-%D8%A7%D9%84%D8%A3%D8%B9%D9%85%D8%A7%D9%84" TargetMode="External"/><Relationship Id="rId40" Type="http://schemas.openxmlformats.org/officeDocument/2006/relationships/hyperlink" Target="https://www.ajol.info/index.php/aref/article/view/162159" TargetMode="External"/><Relationship Id="rId45" Type="http://schemas.openxmlformats.org/officeDocument/2006/relationships/hyperlink" Target="http://imanidevelopment.com/wp-content/uploads/2015/06/Malawi-National-Export-Strategy-Main-Document.pdf" TargetMode="External"/><Relationship Id="rId66" Type="http://schemas.openxmlformats.org/officeDocument/2006/relationships/hyperlink" Target="http://documents1.worldbank.org/curated/en/106731468279863485/pdf/685500PAD0P1290Official0Use0Only090.pdf" TargetMode="External"/><Relationship Id="rId87" Type="http://schemas.openxmlformats.org/officeDocument/2006/relationships/hyperlink" Target="https://silo.tips/download/the-african-development-bank" TargetMode="External"/><Relationship Id="rId110" Type="http://schemas.openxmlformats.org/officeDocument/2006/relationships/hyperlink" Target="http://ambassadedutogo.ch/docs/CHARTE-PME-VERSION-FINALISEE(1).pdf" TargetMode="External"/><Relationship Id="rId115" Type="http://schemas.openxmlformats.org/officeDocument/2006/relationships/hyperlink" Target="https://www.dailynewssegypt.com/2007/10/26/smes-get-a-boost-with-opening-of-stock-exchange-nile-x/" TargetMode="External"/><Relationship Id="rId131" Type="http://schemas.openxmlformats.org/officeDocument/2006/relationships/hyperlink" Target="http://cpmpss.gov.mr/IMG/docx/AGPM_PAMPEF_corrige_et_a_publier.docx" TargetMode="External"/><Relationship Id="rId136" Type="http://schemas.openxmlformats.org/officeDocument/2006/relationships/hyperlink" Target="https://www.mfw4a.org/news/egypt-unveils-new-programme-finance-350000-smes" TargetMode="External"/><Relationship Id="rId157" Type="http://schemas.openxmlformats.org/officeDocument/2006/relationships/hyperlink" Target="https://www.afdb.org/sites/default/files/documents/projects-and-operations/tanzania._small_entrepreneurs_loan_facility_project_self_en_.pdf" TargetMode="External"/><Relationship Id="rId178" Type="http://schemas.openxmlformats.org/officeDocument/2006/relationships/hyperlink" Target="https://en.unesco.org/creativity/sites/creativity/files/qpr/msme_policy_2019_-_2024.pdf" TargetMode="External"/><Relationship Id="rId61" Type="http://schemas.openxmlformats.org/officeDocument/2006/relationships/hyperlink" Target="https://www.mcci.org/media/154352/sme-master-plan1.pdf" TargetMode="External"/><Relationship Id="rId82" Type="http://schemas.openxmlformats.org/officeDocument/2006/relationships/hyperlink" Target="https://www.mfw4a.org/news/africa-financial-sector-responses-covid-19-gabon" TargetMode="External"/><Relationship Id="rId152" Type="http://schemas.openxmlformats.org/officeDocument/2006/relationships/hyperlink" Target="https://www.rbz.co.zw/documents/BLSS/FinancialInclusion/national-microfinance-policy.pdf" TargetMode="External"/><Relationship Id="rId173" Type="http://schemas.openxmlformats.org/officeDocument/2006/relationships/hyperlink" Target="https://www.afgri.co.za/2016/08/02/zambia-daily-mail-article-natsave-invests-k16m-bunjimi-loans/" TargetMode="External"/><Relationship Id="rId194" Type="http://schemas.openxmlformats.org/officeDocument/2006/relationships/hyperlink" Target="https://www.afdb.org/fileadmin/uploads/afdb/Documents/Project-and-Operations/KENYA_-_Enable_Youth_-_Approved.PDF%20%20;" TargetMode="External"/><Relationship Id="rId199" Type="http://schemas.openxmlformats.org/officeDocument/2006/relationships/hyperlink" Target="http://www.kiep.go.ke/aboutkiep/" TargetMode="External"/><Relationship Id="rId203" Type="http://schemas.openxmlformats.org/officeDocument/2006/relationships/hyperlink" Target="https://www.treasury.go.ke/publications/regulations/category/71-pfm-regulations.html?download=1073:public-finance-management-biashara-kenya-fund-regulations-2020" TargetMode="External"/><Relationship Id="rId208" Type="http://schemas.openxmlformats.org/officeDocument/2006/relationships/hyperlink" Target="https://smedan.gov.ng/images/PDF/MSME-National-Policy.pdf" TargetMode="External"/><Relationship Id="rId229" Type="http://schemas.microsoft.com/office/2017/10/relationships/threadedComment" Target="../threadedComments/threadedComment3.xml"/><Relationship Id="rId19" Type="http://schemas.openxmlformats.org/officeDocument/2006/relationships/hyperlink" Target="http://www.smeportal.gov.rw/IMG/pdf/sme_business_guide-final.2-4.pdf" TargetMode="External"/><Relationship Id="rId224" Type="http://schemas.openxmlformats.org/officeDocument/2006/relationships/hyperlink" Target="https://media.africaportal.org/documents/SPECIAL_BRIEFING_-_SME_POLICY.pdf" TargetMode="External"/><Relationship Id="rId14" Type="http://schemas.openxmlformats.org/officeDocument/2006/relationships/hyperlink" Target="http://www.nyda.gov.za/Products-Services/NYDA-Grant-Programme" TargetMode="External"/><Relationship Id="rId30" Type="http://schemas.openxmlformats.org/officeDocument/2006/relationships/hyperlink" Target="https://www.mfw4a.org/news/congo-guarantee-fund-launched-smes" TargetMode="External"/><Relationship Id="rId35" Type="http://schemas.openxmlformats.org/officeDocument/2006/relationships/hyperlink" Target="https://www.worldbank.org/en/results/2016/07/21/financing-women-entrepreneurs-in-ethiopia-the-women-entrepreneurship-development-project-wedp" TargetMode="External"/><Relationship Id="rId56" Type="http://schemas.openxmlformats.org/officeDocument/2006/relationships/hyperlink" Target="http://sefa.org.za/Content/Docs/Amavulandlela%20Funding%20Scheme%20Brochure.pdf" TargetMode="External"/><Relationship Id="rId77" Type="http://schemas.openxmlformats.org/officeDocument/2006/relationships/hyperlink" Target="https://agribank.com.na/page/aims-and-objectives" TargetMode="External"/><Relationship Id="rId100" Type="http://schemas.openxmlformats.org/officeDocument/2006/relationships/hyperlink" Target="https://mali.um.dk/~/media/mali/documents/content%20french/pdsp%20mali%20version%20francaise.pdf?la=fr" TargetMode="External"/><Relationship Id="rId105" Type="http://schemas.openxmlformats.org/officeDocument/2006/relationships/hyperlink" Target="https://projects.worldbank.org/en/projects-operations/project-detail/P129267" TargetMode="External"/><Relationship Id="rId126" Type="http://schemas.openxmlformats.org/officeDocument/2006/relationships/hyperlink" Target="http://www.inapem.gov.ao/" TargetMode="External"/><Relationship Id="rId147" Type="http://schemas.openxmlformats.org/officeDocument/2006/relationships/hyperlink" Target="http://www.nation.sc/archive/240844/smes-to-benefit-from-new-interest-scheme" TargetMode="External"/><Relationship Id="rId168" Type="http://schemas.openxmlformats.org/officeDocument/2006/relationships/hyperlink" Target="https://nairametrics.com/2019/01/25/dbn-targets-n70-billion-credit-facilities-for-msmes/" TargetMode="External"/><Relationship Id="rId8" Type="http://schemas.openxmlformats.org/officeDocument/2006/relationships/hyperlink" Target="https://www.blackenterprise.com/equatorial-guinea-small-businesses/" TargetMode="External"/><Relationship Id="rId51" Type="http://schemas.openxmlformats.org/officeDocument/2006/relationships/hyperlink" Target="https://www.afi-global.org/sites/default/files/publications/nfis-english_version_final.pdf" TargetMode="External"/><Relationship Id="rId72" Type="http://schemas.openxmlformats.org/officeDocument/2006/relationships/hyperlink" Target="http://www.oecd.org/mena/competitiveness/The-Covid-19-Crisis-in-Morocco.pdf" TargetMode="External"/><Relationship Id="rId93" Type="http://schemas.openxmlformats.org/officeDocument/2006/relationships/hyperlink" Target="https://www.finance.go.ug/sites/default/files/Publications/NSPSD%20BOOK%20WEB_0.pdf" TargetMode="External"/><Relationship Id="rId98" Type="http://schemas.openxmlformats.org/officeDocument/2006/relationships/hyperlink" Target="https://www.dbn.com.na/products-services/sme-finance" TargetMode="External"/><Relationship Id="rId121" Type="http://schemas.openxmlformats.org/officeDocument/2006/relationships/hyperlink" Target="http://www.jo.gouv.sn/spip.php?article2244" TargetMode="External"/><Relationship Id="rId142" Type="http://schemas.openxmlformats.org/officeDocument/2006/relationships/hyperlink" Target="http://www.msmeda.org.eg/NewsDetailes119.html%0ahttps:/egyptindependent.com/egypt-launches-initiative-to-provide-small-businesses-with-le1-million-loans/%0ahttps:/www.unido.org/sites/default/files/files/2020-08/UNIDO_Working_Paper_COVID19_SHIP_Project.pdf" TargetMode="External"/><Relationship Id="rId163" Type="http://schemas.openxmlformats.org/officeDocument/2006/relationships/hyperlink" Target="https://info.undp.org/docs/pdc/Documents/MWI/MALAWI%20MSME%20POLICY%20AND%20STRATEGY%20FINAL%20DRAFT%20AUGUST%202012.pdf" TargetMode="External"/><Relationship Id="rId184" Type="http://schemas.openxmlformats.org/officeDocument/2006/relationships/hyperlink" Target="https://www.sefa.org.za/services/reliefscheme" TargetMode="External"/><Relationship Id="rId189" Type="http://schemas.openxmlformats.org/officeDocument/2006/relationships/hyperlink" Target="https://nbssi.gov.gh/" TargetMode="External"/><Relationship Id="rId219" Type="http://schemas.openxmlformats.org/officeDocument/2006/relationships/hyperlink" Target="https://agpo.go.ke/pages/about-agpo" TargetMode="External"/><Relationship Id="rId3" Type="http://schemas.openxmlformats.org/officeDocument/2006/relationships/hyperlink" Target="https://www.enterprise-development.org/wp-content/uploads/ScalingUp_SME_Access_to_Financial_Services.pdf" TargetMode="External"/><Relationship Id="rId214" Type="http://schemas.openxmlformats.org/officeDocument/2006/relationships/hyperlink" Target="https://www.uwezo.go.ke/" TargetMode="External"/><Relationship Id="rId25" Type="http://schemas.openxmlformats.org/officeDocument/2006/relationships/hyperlink" Target="https://www.intracen.org/nouvelles/ameliorer-l-acces-des-pme-au-financement-au-benin/" TargetMode="External"/><Relationship Id="rId46" Type="http://schemas.openxmlformats.org/officeDocument/2006/relationships/hyperlink" Target="https://www.niameyetles2jours.com/l-economie/economie/1808-5829-creation-au-niger-du-fonap-un-fonds-dedie-aux-pme-et-pmi" TargetMode="External"/><Relationship Id="rId67" Type="http://schemas.openxmlformats.org/officeDocument/2006/relationships/hyperlink" Target="http://documents1.worldbank.org/curated/en/805641489370466662/pdf/Morocco-Financing-Innovative-Startups-PAD1362-02222017.pdf" TargetMode="External"/><Relationship Id="rId116" Type="http://schemas.openxmlformats.org/officeDocument/2006/relationships/hyperlink" Target="https://www.arabfinance.com/ar/news/details/egypt-economy/357871" TargetMode="External"/><Relationship Id="rId137" Type="http://schemas.openxmlformats.org/officeDocument/2006/relationships/hyperlink" Target="https://oxfordbusinessgroup.com/analysis/opening-doors-lending-initiatives-are-increasing-access-finance-small-and-medium-sized-enterprises%0ahttps:/www.ebi.gov.eg/small-and-medium-enterprises/%0ahttps:/www.researchgate.net/publication/312121368_Small_and_Medium_Enterprises_in_Egypt_New_Facts_from_a_New_Dataset" TargetMode="External"/><Relationship Id="rId158" Type="http://schemas.openxmlformats.org/officeDocument/2006/relationships/hyperlink" Target="https://www.afdb.org/en/documents/document/zimbabwe-youth-and-women-empowerment-project-92569" TargetMode="External"/><Relationship Id="rId20" Type="http://schemas.openxmlformats.org/officeDocument/2006/relationships/hyperlink" Target="https://openknowledge.worldbank.org/bitstream/handle/10986/12515/687340WP0P12080INAL0Nov00printable0.pdf?sequence=1&amp;isAllowed=y" TargetMode="External"/><Relationship Id="rId41" Type="http://schemas.openxmlformats.org/officeDocument/2006/relationships/hyperlink" Target="https://bc-pme.com/fr/index.php?lang=fr%20;%20%20http://www.minpmeesa.gov.cm/site/pme/banque-des-pme/" TargetMode="External"/><Relationship Id="rId62" Type="http://schemas.openxmlformats.org/officeDocument/2006/relationships/hyperlink" Target="https://z3n8y3h9.stackpathcdn.com/wp-content/uploads/2020/08/BOI-Annual-Report-2019-min.pdf" TargetMode="External"/><Relationship Id="rId83" Type="http://schemas.openxmlformats.org/officeDocument/2006/relationships/hyperlink" Target="https://www.mfw4a.org/news/africa-financial-sector-responses-covid-19-gabon" TargetMode="External"/><Relationship Id="rId88" Type="http://schemas.openxmlformats.org/officeDocument/2006/relationships/hyperlink" Target="http://documents1.worldbank.org/curated/en/327981495159287058/pdf/MA-DPL2-PD-Board-clean-042517-04252017.pdf" TargetMode="External"/><Relationship Id="rId111" Type="http://schemas.openxmlformats.org/officeDocument/2006/relationships/hyperlink" Target="http://documents1.worldbank.org/curated/en/462471527192967678/pdf/DJIBOUTI-PAD-05212018.pdf" TargetMode="External"/><Relationship Id="rId132" Type="http://schemas.openxmlformats.org/officeDocument/2006/relationships/hyperlink" Target="https://www.researchgate.net/publication/322102756_Kingdom_of_Lesotho_Rural_Financial_Intermediation_Programme_Project_Performance_Evaluation_Independent_Office_of_Evaluation_International_Fund_for_Agricultural_Development" TargetMode="External"/><Relationship Id="rId153" Type="http://schemas.openxmlformats.org/officeDocument/2006/relationships/hyperlink" Target="https://www.oag.sc/reports/seed-capital/download" TargetMode="External"/><Relationship Id="rId174" Type="http://schemas.openxmlformats.org/officeDocument/2006/relationships/hyperlink" Target="https://www.zipar.org.zm/download/youth-development-fund-evaluation-final-report/" TargetMode="External"/><Relationship Id="rId179" Type="http://schemas.openxmlformats.org/officeDocument/2006/relationships/hyperlink" Target="http://www.times.co.sz/business/129927-still-no-beneficiary-in-e45m-relief.html%0ahttp:/new.observer.org.sz/details.php?id=14166%0ahttps://www.separc.co.sz/wp-content/uploads/2020/08/FINAL-POST-COVID-19-ECONOMIC-RECOVERY-PLAN-ESWATINI-14082020_compressed-1.pdf%0ahttps://independentnews.co.sz/government-announces-45-million-msme-revolving-fund/" TargetMode="External"/><Relationship Id="rId195" Type="http://schemas.openxmlformats.org/officeDocument/2006/relationships/hyperlink" Target="https://www.afdb.org/fileadmin/uploads/afdb/Documents/Project-and-Operations/KENYA_-_Enable_Youth_-_Approved.PDF%20;%20https:/www.afdb.org/fileadmin/uploads/afdb/Documents/Procurement/Project-related-Procurement/GPN_%E2%80%93_Kenya_-_Enable_Youth_Kenya_Program.pdf" TargetMode="External"/><Relationship Id="rId209" Type="http://schemas.openxmlformats.org/officeDocument/2006/relationships/hyperlink" Target="https://www.cbn.gov.ng/Out/2010/publications/guidelines/dfd/GUIDELINES%20ON%20N200%20BILLION%20SME%20CREDIT%20GUARANTEE.pdf" TargetMode="External"/><Relationship Id="rId190" Type="http://schemas.openxmlformats.org/officeDocument/2006/relationships/hyperlink" Target="http://thcom.com.tn/SOTUGAR/garantie-des-credits-accordes-aux-pme/" TargetMode="External"/><Relationship Id="rId204" Type="http://schemas.openxmlformats.org/officeDocument/2006/relationships/hyperlink" Target="https://www.ceda.co.bw/sites/default/files/emergency-response-fund.pdf" TargetMode="External"/><Relationship Id="rId220" Type="http://schemas.openxmlformats.org/officeDocument/2006/relationships/hyperlink" Target="http://moti.gov.gh/docs/Industrial%20Policy.pdf;%20http:/moti.gov.gh/div_industry.php" TargetMode="External"/><Relationship Id="rId225" Type="http://schemas.openxmlformats.org/officeDocument/2006/relationships/hyperlink" Target="https://pmepe.gouv.bj/" TargetMode="External"/><Relationship Id="rId15" Type="http://schemas.openxmlformats.org/officeDocument/2006/relationships/hyperlink" Target="http://www.dsbd.gov.za/?page_id=1224" TargetMode="External"/><Relationship Id="rId36" Type="http://schemas.openxmlformats.org/officeDocument/2006/relationships/hyperlink" Target="https://www.eib.org/en/projects/pipelines/all/20170078" TargetMode="External"/><Relationship Id="rId57" Type="http://schemas.openxmlformats.org/officeDocument/2006/relationships/hyperlink" Target="https://www.arc.agric.za/Agricultural%20Sector%20News/COVID-19%20Agricultural%20Disaster%20Support%20Fund%20for%20Smallholder%20and%20Communal%20Farmers.pdf" TargetMode="External"/><Relationship Id="rId106" Type="http://schemas.openxmlformats.org/officeDocument/2006/relationships/hyperlink" Target="https://www.bou.or.ug/bou/bouwebsite/bouwebsitecontent/publications/special_pubs/2017/National-Financial-Inclusion-Strategy.pdf" TargetMode="External"/><Relationship Id="rId127" Type="http://schemas.openxmlformats.org/officeDocument/2006/relationships/hyperlink" Target="http://www.cdd.gov.mr/fr" TargetMode="External"/><Relationship Id="rId10" Type="http://schemas.openxmlformats.org/officeDocument/2006/relationships/hyperlink" Target="https://www.cbn.gov.ng/OUT/PUBLICATIONS/REPORTS/RSD/2009/CBN%20DRAFT%20ANNUAL%20REPORT%20FOR%20THE%20YEAR%20ENDED%2031ST%20DECEMBER%202008%20-%20PART%202%20(ACTIVITIES%20OF%20CBN).PDF%0ahttps:/nairametrics.com/wp-content/uploads/2012/04/smeeis-guideline1.pdf" TargetMode="External"/><Relationship Id="rId31" Type="http://schemas.openxmlformats.org/officeDocument/2006/relationships/hyperlink" Target="http://www.lepaystchad.com/13741/%20;%20https:/finances.gouv.td/index.php/component/k2/item/601-lancement-officiel-du-fonds-pour-l-entrepreneuriat-des-jeunes" TargetMode="External"/><Relationship Id="rId52" Type="http://schemas.openxmlformats.org/officeDocument/2006/relationships/hyperlink" Target="http://documents1.worldbank.org/curated/en/918991503626481687/pdf/BURUNDI-PAD-NEW-08032017.pdf" TargetMode="External"/><Relationship Id="rId73" Type="http://schemas.openxmlformats.org/officeDocument/2006/relationships/hyperlink" Target="https://www.ilo.org/dyn/natlex/docs/ELECTRONIC/104320/127219/F-1432184126/SLE104320.pdf" TargetMode="External"/><Relationship Id="rId78" Type="http://schemas.openxmlformats.org/officeDocument/2006/relationships/hyperlink" Target="https://mof.gov.na/documents/35641/36580/Phase+1+VF+Stimulus+and+Relief+Package%2C+Republic+of+Namibia.pdf/9a2314de-4b39-00a1-b8bd-4ffcfe1f20d3" TargetMode="External"/><Relationship Id="rId94" Type="http://schemas.openxmlformats.org/officeDocument/2006/relationships/hyperlink" Target="https://anpgftogo.org/" TargetMode="External"/><Relationship Id="rId99" Type="http://schemas.openxmlformats.org/officeDocument/2006/relationships/hyperlink" Target="https://www.dbn.com.na/phocadownload/DBN-Info-Young-Artisan-V2020c.pdf" TargetMode="External"/><Relationship Id="rId101" Type="http://schemas.openxmlformats.org/officeDocument/2006/relationships/hyperlink" Target="https://mof.gov.na/documents/35641/36580/Statement+Marking+the+Launch+of+SME+Financing+Strategy_HS+2019.pdf/cc5e5219-9492-ae99-aa83-67b250792c87" TargetMode="External"/><Relationship Id="rId122" Type="http://schemas.openxmlformats.org/officeDocument/2006/relationships/hyperlink" Target="https://ec.europa.eu/transparency/regdoc/rep/3/2019/EN/C-2019-7734-F1-EN-ANNEX-1-PART-1.PDF" TargetMode="External"/><Relationship Id="rId143" Type="http://schemas.openxmlformats.org/officeDocument/2006/relationships/hyperlink" Target="http://documents1.worldbank.org/curated/en/100661593617404648/pdf/Egypt-Arab-Republic-of-Promoting-Innovation-for-Inclusive-Financial-Access-Project.pdf" TargetMode="External"/><Relationship Id="rId148" Type="http://schemas.openxmlformats.org/officeDocument/2006/relationships/hyperlink" Target="https://www.centralbank.org.ls/images/Financial_Stability/Financial_Inclusion/Lesotho%20FSDS%20%20-%20Nov%202013.pdf" TargetMode="External"/><Relationship Id="rId164" Type="http://schemas.openxmlformats.org/officeDocument/2006/relationships/hyperlink" Target="http://www.smedi.org.mw/index.php/about-us" TargetMode="External"/><Relationship Id="rId169" Type="http://schemas.openxmlformats.org/officeDocument/2006/relationships/hyperlink" Target="https://www.leganet.cd/Doctrine.textes/Decon/Charte.pme.2009.pdf" TargetMode="External"/><Relationship Id="rId185" Type="http://schemas.openxmlformats.org/officeDocument/2006/relationships/hyperlink" Target="http://www.gov.sz/index.php?option=com_content&amp;view=category&amp;id=74" TargetMode="External"/><Relationship Id="rId4" Type="http://schemas.openxmlformats.org/officeDocument/2006/relationships/hyperlink" Target="https://www.enterprise-development.org/wp-content/uploads/ScalingUp_SME_Access_to_Financial_Services.pdf" TargetMode="External"/><Relationship Id="rId9" Type="http://schemas.openxmlformats.org/officeDocument/2006/relationships/hyperlink" Target="https://ahoraeg.com/economia/2019/12/03/el-bad-ofrece-400-000-dolares-americanos-para-financiar-los-estudios-de-viabilidad-de-los-proyectos-de-las-pequenas-y-medianas-empresas-en-guinea-ecuatorial/" TargetMode="External"/><Relationship Id="rId180" Type="http://schemas.openxmlformats.org/officeDocument/2006/relationships/hyperlink" Target="https://www.separc.co.sz/wp-content/uploads/2020/08/FINAL-POST-COVID-19-ECONOMIC-RECOVERY-PLAN-ESWATINI-14082020_compressed-1.pdf" TargetMode="External"/><Relationship Id="rId210" Type="http://schemas.openxmlformats.org/officeDocument/2006/relationships/hyperlink" Target="https://www.cbn.gov.ng/out/Publications/guidelines/dfd/1990/guidelines-acgsf.pdf" TargetMode="External"/><Relationship Id="rId215" Type="http://schemas.openxmlformats.org/officeDocument/2006/relationships/hyperlink" Target="http://www.youthfund.go.ke/" TargetMode="External"/><Relationship Id="rId26" Type="http://schemas.openxmlformats.org/officeDocument/2006/relationships/hyperlink" Target="https://www2.fundsforngos.org/business-development/benin-usadf-offering-funding-for-the-development-of-local-businesses/" TargetMode="External"/><Relationship Id="rId47" Type="http://schemas.openxmlformats.org/officeDocument/2006/relationships/hyperlink" Target="https://www.banquemondiale.org/fr/news/press-release/2019/04/30/world-bank-supports-access-to-credit-and-digital-financial-services-in-burkina-faso%20%20;%20%20https:/projects.worldbank.org/en/projects-operations/project-detail/P164786?lang=en" TargetMode="External"/><Relationship Id="rId68" Type="http://schemas.openxmlformats.org/officeDocument/2006/relationships/hyperlink" Target="https://english.mubasher.info/news/3264567/AMF-to-grant-100m-loan-to-Sudan-for-SMEs-development/?currentUserCountryCode=--" TargetMode="External"/><Relationship Id="rId89" Type="http://schemas.openxmlformats.org/officeDocument/2006/relationships/hyperlink" Target="http://npa.go.ug/wp-content/uploads/NDPII-Final.pdf" TargetMode="External"/><Relationship Id="rId112" Type="http://schemas.openxmlformats.org/officeDocument/2006/relationships/hyperlink" Target="http://documents1.worldbank.org/curated/en/528241468263698923/pdf/ICR29570P0885400disclosed0120260130.pdf" TargetMode="External"/><Relationship Id="rId133" Type="http://schemas.openxmlformats.org/officeDocument/2006/relationships/hyperlink" Target="http://extwprlegs1.fao.org/docs/pdf/Mau169999.pdf" TargetMode="External"/><Relationship Id="rId154" Type="http://schemas.openxmlformats.org/officeDocument/2006/relationships/hyperlink" Target="https://www.cmpethiopia.org/content/download/2366/10048/file/MoUDH%20MSE%20Development%20Policy%20&amp;%20%20Strategy%20280416.pdf" TargetMode="External"/><Relationship Id="rId175" Type="http://schemas.openxmlformats.org/officeDocument/2006/relationships/hyperlink" Target="http://www.ceec.org.zm/wp-content/uploads/2019/07/CEEC-2018-ANNUAL-REPORT.pdf;%20https:/www.zipar.org.zm/download/youth-development-fund-evaluation-final-report/" TargetMode="External"/><Relationship Id="rId196" Type="http://schemas.openxmlformats.org/officeDocument/2006/relationships/hyperlink" Target="http://mis.kyeop.go.ke/?page_id=6352%20%20;" TargetMode="External"/><Relationship Id="rId200" Type="http://schemas.openxmlformats.org/officeDocument/2006/relationships/hyperlink" Target="https://www.bdf.rw/wp-content/uploads/2020/10/BDF_Annual-Report-2019-1.pdf" TargetMode="External"/><Relationship Id="rId16" Type="http://schemas.openxmlformats.org/officeDocument/2006/relationships/hyperlink" Target="https://amunicorns.com/khalifa-fund-support-finance-projects-in-federal-democratic-republic-of-ethiopia/" TargetMode="External"/><Relationship Id="rId221" Type="http://schemas.openxmlformats.org/officeDocument/2006/relationships/hyperlink" Target="https://www.gov.bw/sites/default/files/2020-03/YDF%20GUIDELINES%204%20JULY%202017.pdf" TargetMode="External"/><Relationship Id="rId37" Type="http://schemas.openxmlformats.org/officeDocument/2006/relationships/hyperlink" Target="http://sdfgambia.gm/wp-content/uploads/2020/03/Final-REVISED-CRC-Report-JULY-TO-DECEMBER-2019-CRC-Reoprt-Final-Version.pdf%0ahttps:/www.facebook.com/pg/Social-Development-Fund-The-Gambia-725670404463852/posts/%0ahttps:/sdfgambia.gm/background/" TargetMode="External"/><Relationship Id="rId58" Type="http://schemas.openxmlformats.org/officeDocument/2006/relationships/hyperlink" Target="https://www.sefa.org.za/Content/Docs/DEPARTMENT_OF_SMALL_BUSINESS_DEVELOPMENT_ANNOUNCES_SECOND_WAVE_OF_SUPPORT_FOR_ENTERPRISES_BASED_IN_TOWNSHIPS_AND_VILLAGES.pdf" TargetMode="External"/><Relationship Id="rId79" Type="http://schemas.openxmlformats.org/officeDocument/2006/relationships/hyperlink" Target="https://mof.gov.na/documents/35641/36580/Phase+1+VF+Stimulus+and+Relief+Package%2C+Republic+of+Namibia.pdf/9a2314de-4b39-00a1-b8bd-4ffcfe1f20d3" TargetMode="External"/><Relationship Id="rId102" Type="http://schemas.openxmlformats.org/officeDocument/2006/relationships/hyperlink" Target="https://shabait.com/2016/12/10/smcp-reaching-nationals-across-the-nation/" TargetMode="External"/><Relationship Id="rId123" Type="http://schemas.openxmlformats.org/officeDocument/2006/relationships/hyperlink" Target="http://www.cdd.gov.mr/fr/credit-agricole-rim" TargetMode="External"/><Relationship Id="rId144" Type="http://schemas.openxmlformats.org/officeDocument/2006/relationships/hyperlink" Target="https://www.centralbank.org.ls/images/Financial_Stability/Financial_Inclusion/Inclusive_Finance_strategy_Final_201.pdf" TargetMode="External"/><Relationship Id="rId90" Type="http://schemas.openxmlformats.org/officeDocument/2006/relationships/hyperlink" Target="http://extwprlegs1.fao.org/docs/pdf/ivc167058.pdf" TargetMode="External"/><Relationship Id="rId165" Type="http://schemas.openxmlformats.org/officeDocument/2006/relationships/hyperlink" Target="https://www.genesis-analytics.com/uploads/downloads/Malawi_Roadmap-2020-05-22.pdf" TargetMode="External"/><Relationship Id="rId186" Type="http://schemas.openxmlformats.org/officeDocument/2006/relationships/hyperlink" Target="http://thcom.com.tn/SOTUGAR/fonds-de-garantie-des-jeunes-createurs-fgjc/" TargetMode="External"/><Relationship Id="rId211" Type="http://schemas.openxmlformats.org/officeDocument/2006/relationships/hyperlink" Target="https://nairametrics.com/wp-content/uploads/2020/07/AGSMEIS-Guidelines-Revised-version2-Resolutions-21-final-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14A7E-A787-402A-A1AA-DA094DAC958E}">
  <dimension ref="A1:AA11"/>
  <sheetViews>
    <sheetView workbookViewId="0">
      <selection activeCell="B15" sqref="B15"/>
    </sheetView>
  </sheetViews>
  <sheetFormatPr defaultColWidth="11.42578125" defaultRowHeight="14.25" x14ac:dyDescent="0.2"/>
  <cols>
    <col min="1" max="1" width="38.85546875" style="5" customWidth="1"/>
    <col min="2" max="2" width="174.140625" style="5" customWidth="1"/>
    <col min="3" max="16384" width="11.42578125" style="5"/>
  </cols>
  <sheetData>
    <row r="1" spans="1:27" s="7" customFormat="1" ht="21" thickBot="1" x14ac:dyDescent="0.25">
      <c r="A1" s="124" t="s">
        <v>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row>
    <row r="2" spans="1:27" ht="41.25" customHeight="1" x14ac:dyDescent="0.2">
      <c r="A2" s="125" t="s">
        <v>1</v>
      </c>
      <c r="B2" s="125"/>
      <c r="C2" s="12"/>
      <c r="D2" s="12"/>
      <c r="E2" s="12"/>
      <c r="F2" s="12"/>
      <c r="G2" s="12"/>
      <c r="H2" s="12"/>
      <c r="I2" s="12"/>
      <c r="J2" s="12"/>
      <c r="K2" s="8"/>
      <c r="L2" s="8"/>
      <c r="M2" s="8"/>
      <c r="N2" s="8"/>
      <c r="O2" s="8"/>
      <c r="P2" s="8"/>
      <c r="Q2" s="8"/>
      <c r="R2" s="8"/>
      <c r="S2" s="8"/>
      <c r="T2" s="9"/>
      <c r="U2" s="9"/>
      <c r="V2" s="9"/>
      <c r="W2" s="9"/>
      <c r="X2" s="9"/>
      <c r="Y2" s="9"/>
      <c r="Z2" s="9"/>
      <c r="AA2" s="9"/>
    </row>
    <row r="3" spans="1:27" x14ac:dyDescent="0.2">
      <c r="A3" s="6" t="s">
        <v>2277</v>
      </c>
    </row>
    <row r="6" spans="1:27" x14ac:dyDescent="0.2">
      <c r="A6" s="57" t="s">
        <v>2</v>
      </c>
      <c r="B6" s="59" t="s">
        <v>3</v>
      </c>
      <c r="C6" s="60"/>
    </row>
    <row r="7" spans="1:27" x14ac:dyDescent="0.2">
      <c r="A7" s="81" t="s">
        <v>4</v>
      </c>
      <c r="B7" s="61" t="s">
        <v>5</v>
      </c>
      <c r="C7" s="60"/>
    </row>
    <row r="8" spans="1:27" x14ac:dyDescent="0.2">
      <c r="A8" s="81" t="s">
        <v>6</v>
      </c>
      <c r="B8" s="61" t="s">
        <v>7</v>
      </c>
      <c r="C8" s="60"/>
    </row>
    <row r="9" spans="1:27" x14ac:dyDescent="0.2">
      <c r="A9" s="82" t="s">
        <v>8</v>
      </c>
      <c r="B9" s="62" t="s">
        <v>9</v>
      </c>
      <c r="C9" s="60"/>
    </row>
    <row r="10" spans="1:27" x14ac:dyDescent="0.2">
      <c r="A10" s="83" t="s">
        <v>10</v>
      </c>
      <c r="B10" s="63" t="s">
        <v>11</v>
      </c>
      <c r="C10" s="60"/>
    </row>
    <row r="11" spans="1:27" x14ac:dyDescent="0.2">
      <c r="A11" s="58"/>
      <c r="B11" s="58"/>
    </row>
  </sheetData>
  <mergeCells count="2">
    <mergeCell ref="A1:AA1"/>
    <mergeCell ref="A2:B2"/>
  </mergeCells>
  <hyperlinks>
    <hyperlink ref="A7" location="Dashboard!A1" display="Dashboard" xr:uid="{FCA253DE-AD44-401D-8342-8932C8CFFDD5}"/>
    <hyperlink ref="A8" location="'User guide'!A1" display="User guide" xr:uid="{111420ED-3EAE-4263-B416-C53F5E606780}"/>
    <hyperlink ref="A9" location="Definitions!A1" display="Definitions" xr:uid="{67E2C6C0-CD00-4390-8261-1767BB7224A3}"/>
    <hyperlink ref="A10" location="'MSME policies catalogue'!A1" display="MSME policies catalogue" xr:uid="{1566FC42-17F3-495B-8FEE-0E18FB162D2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71FC-E101-448B-A15B-13F04E15EE8C}">
  <dimension ref="A1:AM329"/>
  <sheetViews>
    <sheetView topLeftCell="A19" zoomScale="60" zoomScaleNormal="60" workbookViewId="0">
      <selection activeCell="V175" sqref="V175"/>
    </sheetView>
  </sheetViews>
  <sheetFormatPr defaultColWidth="11.42578125" defaultRowHeight="14.25" x14ac:dyDescent="0.2"/>
  <cols>
    <col min="1" max="5" width="11.42578125" style="5"/>
    <col min="6" max="6" width="11.5703125" style="5" customWidth="1"/>
    <col min="7" max="7" width="15.140625" style="5" bestFit="1" customWidth="1"/>
    <col min="8" max="8" width="20.5703125" style="5" bestFit="1" customWidth="1"/>
    <col min="9" max="15" width="11.42578125" style="5"/>
    <col min="16" max="16" width="14.7109375" style="5" bestFit="1" customWidth="1"/>
    <col min="17" max="16384" width="11.42578125" style="5"/>
  </cols>
  <sheetData>
    <row r="1" spans="1:39" ht="25.5" x14ac:dyDescent="0.2">
      <c r="A1" s="134" t="s">
        <v>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6"/>
    </row>
    <row r="2" spans="1:39" ht="21.75" customHeight="1" x14ac:dyDescent="0.2">
      <c r="A2" s="133" t="s">
        <v>12</v>
      </c>
      <c r="B2" s="133"/>
      <c r="C2" s="133"/>
      <c r="D2" s="133"/>
      <c r="E2" s="133"/>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row>
    <row r="3" spans="1:39" ht="15" x14ac:dyDescent="0.25">
      <c r="A3" s="127" t="s">
        <v>13</v>
      </c>
      <c r="B3" s="127"/>
      <c r="C3" s="127"/>
      <c r="D3" s="127"/>
      <c r="E3" s="127"/>
      <c r="F3" s="127"/>
      <c r="G3" s="52"/>
      <c r="H3" s="53"/>
    </row>
    <row r="4" spans="1:39" ht="15" x14ac:dyDescent="0.25">
      <c r="A4" s="127" t="s">
        <v>14</v>
      </c>
      <c r="B4" s="127"/>
      <c r="C4" s="127"/>
      <c r="D4" s="127"/>
      <c r="E4" s="127"/>
      <c r="F4" s="127"/>
      <c r="G4" s="52"/>
    </row>
    <row r="5" spans="1:39" ht="15" x14ac:dyDescent="0.25">
      <c r="A5" s="127" t="s">
        <v>15</v>
      </c>
      <c r="B5" s="127"/>
      <c r="C5" s="127"/>
      <c r="D5" s="127"/>
      <c r="E5" s="52"/>
      <c r="F5" s="52"/>
      <c r="G5" s="52"/>
    </row>
    <row r="6" spans="1:39" ht="15" x14ac:dyDescent="0.25">
      <c r="A6" s="127" t="s">
        <v>16</v>
      </c>
      <c r="B6" s="127"/>
      <c r="C6" s="127"/>
      <c r="D6" s="127"/>
      <c r="E6" s="127"/>
    </row>
    <row r="7" spans="1:39" ht="15" x14ac:dyDescent="0.25">
      <c r="A7" s="127" t="s">
        <v>17</v>
      </c>
      <c r="B7" s="127"/>
      <c r="C7" s="127"/>
      <c r="D7" s="127"/>
      <c r="E7" s="127"/>
      <c r="F7" s="127"/>
    </row>
    <row r="8" spans="1:39" ht="15" x14ac:dyDescent="0.25">
      <c r="A8" s="127" t="s">
        <v>18</v>
      </c>
      <c r="B8" s="127"/>
      <c r="C8" s="127"/>
      <c r="D8" s="127"/>
      <c r="E8" s="127"/>
      <c r="F8" s="127"/>
    </row>
    <row r="9" spans="1:39" ht="15" x14ac:dyDescent="0.25">
      <c r="A9" s="127" t="s">
        <v>19</v>
      </c>
      <c r="B9" s="127"/>
      <c r="C9" s="127"/>
      <c r="D9" s="127"/>
      <c r="E9" s="127"/>
      <c r="F9" s="127"/>
    </row>
    <row r="10" spans="1:39" ht="25.5" x14ac:dyDescent="0.2">
      <c r="A10" s="128"/>
      <c r="B10" s="128"/>
      <c r="C10" s="128"/>
      <c r="D10" s="128"/>
      <c r="E10" s="128"/>
      <c r="F10" s="128"/>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row>
    <row r="11" spans="1:39" ht="25.5" x14ac:dyDescent="0.2">
      <c r="A11" s="128"/>
      <c r="B11" s="128"/>
      <c r="C11" s="128"/>
      <c r="D11" s="128"/>
      <c r="E11" s="128"/>
      <c r="F11" s="128"/>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row>
    <row r="13" spans="1:39" ht="15" x14ac:dyDescent="0.25">
      <c r="A13" s="129" t="s">
        <v>13</v>
      </c>
      <c r="B13" s="129"/>
      <c r="C13" s="129"/>
      <c r="D13" s="129"/>
      <c r="E13" s="129"/>
      <c r="F13" s="129"/>
      <c r="G13" s="52"/>
      <c r="H13" s="53"/>
    </row>
    <row r="14" spans="1:39" x14ac:dyDescent="0.2">
      <c r="A14" s="52"/>
      <c r="B14" s="52"/>
      <c r="C14" s="52"/>
      <c r="D14" s="52"/>
      <c r="E14" s="52"/>
      <c r="F14" s="52"/>
      <c r="G14" s="52"/>
    </row>
    <row r="15" spans="1:39" x14ac:dyDescent="0.2">
      <c r="A15" s="51" t="s">
        <v>20</v>
      </c>
    </row>
    <row r="16" spans="1:39" x14ac:dyDescent="0.2">
      <c r="A16" s="51"/>
    </row>
    <row r="17" spans="1:8" ht="15" customHeight="1" x14ac:dyDescent="0.2">
      <c r="A17" s="132" t="s">
        <v>21</v>
      </c>
      <c r="B17" s="132"/>
      <c r="C17" s="132"/>
      <c r="D17" s="132"/>
      <c r="E17" s="132"/>
      <c r="F17" s="132"/>
      <c r="G17" s="6" t="s">
        <v>22</v>
      </c>
      <c r="H17" s="6" t="s">
        <v>23</v>
      </c>
    </row>
    <row r="18" spans="1:8" x14ac:dyDescent="0.2">
      <c r="A18" s="132"/>
      <c r="B18" s="132"/>
      <c r="C18" s="132"/>
      <c r="D18" s="132"/>
      <c r="E18" s="132"/>
      <c r="F18" s="132"/>
      <c r="G18" s="5" t="s">
        <v>197</v>
      </c>
      <c r="H18" s="5" t="s">
        <v>250</v>
      </c>
    </row>
    <row r="35" spans="1:18" x14ac:dyDescent="0.2">
      <c r="A35" s="129" t="s">
        <v>14</v>
      </c>
      <c r="B35" s="129"/>
      <c r="C35" s="129"/>
      <c r="D35" s="52"/>
      <c r="E35" s="52"/>
      <c r="F35" s="52"/>
      <c r="G35" s="52"/>
    </row>
    <row r="36" spans="1:18" ht="33" customHeight="1" x14ac:dyDescent="0.2">
      <c r="A36" s="130" t="s">
        <v>26</v>
      </c>
      <c r="B36" s="130"/>
      <c r="C36" s="130"/>
      <c r="D36" s="130"/>
      <c r="E36" s="130"/>
      <c r="F36" s="130"/>
      <c r="G36" s="130"/>
      <c r="H36" s="130"/>
      <c r="I36" s="130" t="s">
        <v>27</v>
      </c>
      <c r="J36" s="130"/>
      <c r="K36" s="130"/>
      <c r="L36" s="130"/>
      <c r="M36" s="130"/>
      <c r="N36" s="130"/>
      <c r="O36" s="130"/>
      <c r="P36" s="130"/>
      <c r="Q36" s="130"/>
      <c r="R36" s="130"/>
    </row>
    <row r="37" spans="1:18" ht="15" customHeight="1" x14ac:dyDescent="0.2">
      <c r="A37" s="132" t="s">
        <v>28</v>
      </c>
      <c r="B37" s="132"/>
      <c r="C37" s="132"/>
      <c r="D37" s="132"/>
      <c r="E37" s="132"/>
      <c r="F37" s="6" t="s">
        <v>22</v>
      </c>
      <c r="H37" s="6"/>
      <c r="I37" s="132" t="s">
        <v>29</v>
      </c>
      <c r="J37" s="132"/>
      <c r="K37" s="132"/>
      <c r="L37" s="132"/>
      <c r="M37" s="132"/>
      <c r="N37" s="6" t="s">
        <v>23</v>
      </c>
    </row>
    <row r="38" spans="1:18" x14ac:dyDescent="0.2">
      <c r="A38" s="132"/>
      <c r="B38" s="132"/>
      <c r="C38" s="132"/>
      <c r="D38" s="132"/>
      <c r="E38" s="132"/>
      <c r="F38" s="5" t="s">
        <v>197</v>
      </c>
      <c r="I38" s="132"/>
      <c r="J38" s="132"/>
      <c r="K38" s="132"/>
      <c r="L38" s="132"/>
      <c r="M38" s="132"/>
      <c r="N38" s="5" t="s">
        <v>43</v>
      </c>
    </row>
    <row r="55" spans="1:18" x14ac:dyDescent="0.2">
      <c r="A55" s="130" t="s">
        <v>31</v>
      </c>
      <c r="B55" s="130"/>
      <c r="C55" s="130"/>
      <c r="D55" s="130"/>
      <c r="E55" s="130"/>
      <c r="F55" s="130"/>
      <c r="G55" s="130"/>
      <c r="H55" s="130"/>
      <c r="I55" s="130" t="s">
        <v>32</v>
      </c>
      <c r="J55" s="130"/>
      <c r="K55" s="130"/>
      <c r="L55" s="130"/>
      <c r="M55" s="130"/>
      <c r="N55" s="130"/>
      <c r="O55" s="130"/>
      <c r="P55" s="130"/>
      <c r="Q55" s="130"/>
      <c r="R55" s="130"/>
    </row>
    <row r="57" spans="1:18" x14ac:dyDescent="0.2">
      <c r="A57" s="52"/>
      <c r="B57" s="52"/>
      <c r="C57" s="52"/>
      <c r="D57" s="52"/>
      <c r="E57" s="52"/>
      <c r="F57" s="52"/>
      <c r="G57" s="52"/>
    </row>
    <row r="58" spans="1:18" x14ac:dyDescent="0.2">
      <c r="A58" s="52"/>
      <c r="B58" s="52"/>
      <c r="C58" s="52"/>
      <c r="D58" s="52"/>
      <c r="E58" s="52"/>
      <c r="F58" s="52"/>
      <c r="G58" s="52"/>
    </row>
    <row r="59" spans="1:18" x14ac:dyDescent="0.2">
      <c r="A59" s="52"/>
      <c r="B59" s="52"/>
      <c r="C59" s="52"/>
      <c r="D59" s="52"/>
      <c r="E59" s="52"/>
      <c r="F59" s="52"/>
      <c r="G59" s="52"/>
    </row>
    <row r="60" spans="1:18" x14ac:dyDescent="0.2">
      <c r="A60" s="52"/>
      <c r="B60" s="52"/>
      <c r="C60" s="52"/>
      <c r="D60" s="52"/>
      <c r="E60" s="52"/>
      <c r="F60" s="52"/>
      <c r="G60" s="52"/>
    </row>
    <row r="61" spans="1:18" x14ac:dyDescent="0.2">
      <c r="A61" s="52"/>
      <c r="B61" s="52"/>
      <c r="C61" s="52"/>
      <c r="D61" s="52"/>
      <c r="E61" s="52"/>
      <c r="F61" s="52"/>
      <c r="G61" s="52"/>
    </row>
    <row r="62" spans="1:18" x14ac:dyDescent="0.2">
      <c r="A62" s="52"/>
      <c r="B62" s="52"/>
      <c r="C62" s="52"/>
      <c r="D62" s="52"/>
      <c r="E62" s="52"/>
      <c r="F62" s="52"/>
      <c r="G62" s="52"/>
    </row>
    <row r="63" spans="1:18" x14ac:dyDescent="0.2">
      <c r="A63" s="52"/>
      <c r="B63" s="52"/>
      <c r="C63" s="52"/>
      <c r="D63" s="52"/>
      <c r="E63" s="52"/>
      <c r="F63" s="52"/>
      <c r="G63" s="52"/>
    </row>
    <row r="64" spans="1:18" x14ac:dyDescent="0.2">
      <c r="A64" s="52"/>
      <c r="B64" s="52"/>
      <c r="C64" s="52"/>
      <c r="D64" s="52"/>
      <c r="E64" s="52"/>
      <c r="F64" s="52"/>
      <c r="G64" s="52"/>
    </row>
    <row r="65" spans="1:8" x14ac:dyDescent="0.2">
      <c r="A65" s="52"/>
      <c r="B65" s="52"/>
      <c r="C65" s="52"/>
      <c r="D65" s="52"/>
      <c r="E65" s="52"/>
      <c r="F65" s="52"/>
      <c r="G65" s="52"/>
    </row>
    <row r="66" spans="1:8" x14ac:dyDescent="0.2">
      <c r="A66" s="52"/>
      <c r="B66" s="52"/>
      <c r="C66" s="52"/>
      <c r="D66" s="52"/>
      <c r="E66" s="52"/>
      <c r="F66" s="52"/>
      <c r="G66" s="52"/>
    </row>
    <row r="67" spans="1:8" x14ac:dyDescent="0.2">
      <c r="A67" s="52"/>
      <c r="B67" s="52"/>
      <c r="C67" s="52"/>
      <c r="D67" s="52"/>
      <c r="E67" s="52"/>
      <c r="F67" s="52"/>
      <c r="G67" s="52"/>
    </row>
    <row r="68" spans="1:8" x14ac:dyDescent="0.2">
      <c r="A68" s="52"/>
      <c r="B68" s="52"/>
      <c r="C68" s="52"/>
      <c r="D68" s="52"/>
      <c r="E68" s="52"/>
      <c r="F68" s="52"/>
      <c r="G68" s="52"/>
    </row>
    <row r="69" spans="1:8" x14ac:dyDescent="0.2">
      <c r="A69" s="52"/>
      <c r="B69" s="52"/>
      <c r="C69" s="52"/>
      <c r="D69" s="52"/>
      <c r="E69" s="52"/>
      <c r="F69" s="52"/>
      <c r="G69" s="52"/>
    </row>
    <row r="70" spans="1:8" x14ac:dyDescent="0.2">
      <c r="A70" s="52"/>
      <c r="B70" s="52"/>
      <c r="C70" s="52"/>
      <c r="D70" s="52"/>
      <c r="E70" s="52"/>
      <c r="F70" s="52"/>
      <c r="G70" s="52"/>
    </row>
    <row r="71" spans="1:8" x14ac:dyDescent="0.2">
      <c r="A71" s="52"/>
      <c r="B71" s="52"/>
      <c r="C71" s="52"/>
      <c r="D71" s="52"/>
      <c r="E71" s="52"/>
      <c r="F71" s="52"/>
      <c r="G71" s="52"/>
    </row>
    <row r="72" spans="1:8" x14ac:dyDescent="0.2">
      <c r="A72" s="52"/>
      <c r="B72" s="52"/>
      <c r="C72" s="52"/>
      <c r="D72" s="52"/>
      <c r="E72" s="52"/>
      <c r="F72" s="52"/>
      <c r="G72" s="52"/>
    </row>
    <row r="73" spans="1:8" x14ac:dyDescent="0.2">
      <c r="A73" s="52"/>
      <c r="B73" s="52"/>
      <c r="C73" s="52"/>
      <c r="D73" s="52"/>
      <c r="E73" s="52"/>
      <c r="F73" s="52"/>
      <c r="G73" s="52"/>
    </row>
    <row r="74" spans="1:8" x14ac:dyDescent="0.2">
      <c r="A74" s="52"/>
      <c r="B74" s="52"/>
      <c r="C74" s="52"/>
      <c r="D74" s="52"/>
      <c r="E74" s="52"/>
      <c r="F74" s="52"/>
      <c r="G74" s="52"/>
    </row>
    <row r="75" spans="1:8" x14ac:dyDescent="0.2">
      <c r="A75" s="52"/>
      <c r="B75" s="52"/>
      <c r="C75" s="52"/>
      <c r="D75" s="52"/>
      <c r="E75" s="52"/>
      <c r="F75" s="52"/>
      <c r="G75" s="52"/>
    </row>
    <row r="77" spans="1:8" x14ac:dyDescent="0.2">
      <c r="A77" s="129" t="s">
        <v>33</v>
      </c>
      <c r="B77" s="129"/>
      <c r="C77" s="129"/>
      <c r="D77" s="129"/>
      <c r="E77" s="52"/>
      <c r="F77" s="52"/>
      <c r="G77" s="52"/>
    </row>
    <row r="78" spans="1:8" x14ac:dyDescent="0.2">
      <c r="A78" s="114"/>
      <c r="B78" s="114"/>
      <c r="C78" s="114"/>
      <c r="D78" s="114"/>
      <c r="E78" s="52"/>
      <c r="F78" s="52"/>
      <c r="G78" s="52"/>
    </row>
    <row r="79" spans="1:8" ht="15.75" x14ac:dyDescent="0.25">
      <c r="A79" s="115" t="s">
        <v>34</v>
      </c>
      <c r="B79" s="115"/>
      <c r="C79" s="115"/>
      <c r="D79" s="115"/>
      <c r="E79" s="115"/>
      <c r="F79" s="115"/>
      <c r="G79" s="114"/>
      <c r="H79" s="56">
        <f>COUNTIFS('MSME policies catalogue'!P6:P2000,"&lt;&gt;No specific target group", 'MSME policies catalogue'!P6:P2000,"&lt;&gt;No information found",'MSME policies catalogue'!P6:P2000,"&lt;&gt;")/COUNTIFS('MSME policies catalogue'!P6:P2000,"&lt;&gt;No information found",'MSME policies catalogue'!P6:P2000,"&lt;&gt;")</f>
        <v>0.55744680851063833</v>
      </c>
    </row>
    <row r="80" spans="1:8" ht="15.75" x14ac:dyDescent="0.25">
      <c r="A80" s="115"/>
      <c r="B80" s="115"/>
      <c r="C80" s="115"/>
      <c r="D80" s="115"/>
      <c r="E80" s="115"/>
      <c r="F80" s="115"/>
      <c r="G80" s="114"/>
    </row>
    <row r="81" spans="1:18" ht="33" customHeight="1" x14ac:dyDescent="0.2">
      <c r="A81" s="130" t="s">
        <v>35</v>
      </c>
      <c r="B81" s="130"/>
      <c r="C81" s="130"/>
      <c r="D81" s="130"/>
      <c r="E81" s="130"/>
      <c r="F81" s="130"/>
      <c r="G81" s="130"/>
      <c r="H81" s="130"/>
      <c r="I81" s="130" t="s">
        <v>36</v>
      </c>
      <c r="J81" s="130"/>
      <c r="K81" s="130"/>
      <c r="L81" s="130"/>
      <c r="M81" s="130"/>
      <c r="N81" s="130"/>
      <c r="O81" s="130"/>
      <c r="P81" s="130"/>
      <c r="Q81" s="130"/>
      <c r="R81" s="130"/>
    </row>
    <row r="82" spans="1:18" x14ac:dyDescent="0.2">
      <c r="A82" s="51"/>
    </row>
    <row r="83" spans="1:18" x14ac:dyDescent="0.2">
      <c r="A83" s="132" t="s">
        <v>28</v>
      </c>
      <c r="B83" s="132"/>
      <c r="C83" s="132"/>
      <c r="D83" s="132"/>
      <c r="E83" s="132"/>
      <c r="F83" s="132"/>
      <c r="G83" s="6" t="s">
        <v>22</v>
      </c>
      <c r="H83" s="6"/>
      <c r="I83" s="132" t="s">
        <v>29</v>
      </c>
      <c r="J83" s="132"/>
      <c r="K83" s="132"/>
      <c r="L83" s="132"/>
      <c r="M83" s="132"/>
      <c r="N83" s="132"/>
      <c r="O83" s="6" t="s">
        <v>23</v>
      </c>
    </row>
    <row r="84" spans="1:18" x14ac:dyDescent="0.2">
      <c r="A84" s="132"/>
      <c r="B84" s="132"/>
      <c r="C84" s="132"/>
      <c r="D84" s="132"/>
      <c r="E84" s="132"/>
      <c r="F84" s="132"/>
      <c r="G84" s="5" t="s">
        <v>24</v>
      </c>
      <c r="I84" s="132"/>
      <c r="J84" s="132"/>
      <c r="K84" s="132"/>
      <c r="L84" s="132"/>
      <c r="M84" s="132"/>
      <c r="N84" s="132"/>
      <c r="O84" s="5" t="s">
        <v>25</v>
      </c>
    </row>
    <row r="116" spans="1:17" ht="29.25" customHeight="1" x14ac:dyDescent="0.2">
      <c r="A116" s="130" t="s">
        <v>37</v>
      </c>
      <c r="B116" s="130"/>
      <c r="C116" s="130"/>
      <c r="D116" s="130"/>
      <c r="E116" s="130"/>
      <c r="F116" s="130"/>
      <c r="G116" s="130"/>
      <c r="H116" s="130"/>
      <c r="I116" s="130" t="s">
        <v>38</v>
      </c>
      <c r="J116" s="130"/>
      <c r="K116" s="130"/>
      <c r="L116" s="130"/>
      <c r="M116" s="130"/>
      <c r="N116" s="130"/>
      <c r="O116" s="130"/>
      <c r="P116" s="130"/>
      <c r="Q116" s="130"/>
    </row>
    <row r="117" spans="1:17" x14ac:dyDescent="0.2">
      <c r="A117" s="50"/>
      <c r="B117" s="50"/>
      <c r="C117" s="50"/>
      <c r="D117" s="50"/>
      <c r="E117" s="50"/>
      <c r="F117" s="50"/>
      <c r="G117" s="50"/>
      <c r="H117" s="50"/>
    </row>
    <row r="144" spans="8:8" ht="15" x14ac:dyDescent="0.25">
      <c r="H144" s="53"/>
    </row>
    <row r="146" spans="1:18" x14ac:dyDescent="0.2">
      <c r="A146" s="129" t="s">
        <v>16</v>
      </c>
      <c r="B146" s="129"/>
      <c r="C146" s="129"/>
      <c r="D146" s="129"/>
      <c r="E146" s="129"/>
      <c r="H146" s="56"/>
    </row>
    <row r="147" spans="1:18" x14ac:dyDescent="0.2">
      <c r="A147" s="114"/>
      <c r="B147" s="114"/>
      <c r="C147" s="114"/>
      <c r="D147" s="114"/>
      <c r="E147" s="114"/>
    </row>
    <row r="148" spans="1:18" ht="15.75" x14ac:dyDescent="0.25">
      <c r="A148" s="131" t="s">
        <v>39</v>
      </c>
      <c r="B148" s="131"/>
      <c r="C148" s="131"/>
      <c r="D148" s="131"/>
      <c r="E148" s="131"/>
      <c r="F148" s="131"/>
      <c r="G148" s="131"/>
      <c r="H148" s="56">
        <f>COUNTIFS('MSME policies catalogue'!Q6:Q2000,"&lt;&gt;No specific target sector", 'MSME policies catalogue'!Q6:Q2000,"&lt;&gt;No information found",'MSME policies catalogue'!Q6:Q2000,"&lt;&gt;")/COUNTIFS('MSME policies catalogue'!Q6:Q2000,"&lt;&gt;No information found",'MSME policies catalogue'!Q6:Q2000,"&lt;&gt;")</f>
        <v>0.44255319148936167</v>
      </c>
    </row>
    <row r="149" spans="1:18" ht="15.75" x14ac:dyDescent="0.25">
      <c r="A149" s="115"/>
      <c r="B149" s="115"/>
      <c r="C149" s="115"/>
      <c r="D149" s="115"/>
      <c r="E149" s="115"/>
      <c r="F149" s="115"/>
      <c r="G149" s="115"/>
    </row>
    <row r="150" spans="1:18" ht="32.25" customHeight="1" x14ac:dyDescent="0.2">
      <c r="A150" s="130" t="s">
        <v>40</v>
      </c>
      <c r="B150" s="130"/>
      <c r="C150" s="130"/>
      <c r="D150" s="130"/>
      <c r="E150" s="130"/>
      <c r="F150" s="130"/>
      <c r="G150" s="130"/>
      <c r="H150" s="130"/>
      <c r="I150" s="130" t="s">
        <v>41</v>
      </c>
      <c r="J150" s="130"/>
      <c r="K150" s="130"/>
      <c r="L150" s="130"/>
      <c r="M150" s="130"/>
      <c r="N150" s="130"/>
      <c r="O150" s="130"/>
      <c r="P150" s="130"/>
      <c r="Q150" s="130"/>
      <c r="R150" s="130"/>
    </row>
    <row r="151" spans="1:18" x14ac:dyDescent="0.2">
      <c r="A151" s="51"/>
    </row>
    <row r="152" spans="1:18" x14ac:dyDescent="0.2">
      <c r="A152" s="113" t="s">
        <v>28</v>
      </c>
      <c r="B152" s="113"/>
      <c r="C152" s="113"/>
      <c r="D152" s="113"/>
      <c r="E152" s="113"/>
      <c r="F152" s="113"/>
      <c r="G152" s="6" t="s">
        <v>22</v>
      </c>
      <c r="H152" s="6"/>
      <c r="I152" s="132" t="s">
        <v>29</v>
      </c>
      <c r="J152" s="132"/>
      <c r="K152" s="132"/>
      <c r="L152" s="132"/>
      <c r="M152" s="132"/>
      <c r="N152" s="132"/>
      <c r="O152" s="6" t="s">
        <v>23</v>
      </c>
    </row>
    <row r="153" spans="1:18" x14ac:dyDescent="0.2">
      <c r="A153" s="113"/>
      <c r="B153" s="113"/>
      <c r="C153" s="113"/>
      <c r="D153" s="113"/>
      <c r="E153" s="113"/>
      <c r="F153" s="113"/>
      <c r="G153" s="5" t="s">
        <v>42</v>
      </c>
      <c r="I153" s="132"/>
      <c r="J153" s="132"/>
      <c r="K153" s="132"/>
      <c r="L153" s="132"/>
      <c r="M153" s="132"/>
      <c r="N153" s="132"/>
      <c r="O153" s="5" t="s">
        <v>248</v>
      </c>
    </row>
    <row r="179" spans="1:17" ht="31.5" customHeight="1" x14ac:dyDescent="0.2">
      <c r="A179" s="130" t="s">
        <v>44</v>
      </c>
      <c r="B179" s="130"/>
      <c r="C179" s="130"/>
      <c r="D179" s="130"/>
      <c r="E179" s="130"/>
      <c r="F179" s="130"/>
      <c r="G179" s="130"/>
      <c r="H179" s="130"/>
      <c r="I179" s="130" t="s">
        <v>45</v>
      </c>
      <c r="J179" s="130"/>
      <c r="K179" s="130"/>
      <c r="L179" s="130"/>
      <c r="M179" s="130"/>
      <c r="N179" s="130"/>
      <c r="O179" s="130"/>
      <c r="P179" s="130"/>
      <c r="Q179" s="130"/>
    </row>
    <row r="205" spans="1:18" x14ac:dyDescent="0.2">
      <c r="A205" s="129" t="s">
        <v>17</v>
      </c>
      <c r="B205" s="129"/>
      <c r="C205" s="129"/>
      <c r="D205" s="129"/>
      <c r="E205" s="129"/>
      <c r="F205" s="129"/>
    </row>
    <row r="206" spans="1:18" ht="33" customHeight="1" x14ac:dyDescent="0.2">
      <c r="A206" s="130" t="s">
        <v>46</v>
      </c>
      <c r="B206" s="130"/>
      <c r="C206" s="130"/>
      <c r="D206" s="130"/>
      <c r="E206" s="130"/>
      <c r="F206" s="130"/>
      <c r="G206" s="130"/>
      <c r="H206" s="130"/>
      <c r="I206" s="130" t="s">
        <v>47</v>
      </c>
      <c r="J206" s="130"/>
      <c r="K206" s="130"/>
      <c r="L206" s="130"/>
      <c r="M206" s="130"/>
      <c r="N206" s="130"/>
      <c r="O206" s="130"/>
      <c r="P206" s="130"/>
      <c r="Q206" s="130"/>
      <c r="R206" s="130"/>
    </row>
    <row r="207" spans="1:18" x14ac:dyDescent="0.2">
      <c r="A207" s="113" t="s">
        <v>28</v>
      </c>
      <c r="B207" s="113"/>
      <c r="C207" s="113"/>
      <c r="D207" s="113"/>
      <c r="E207" s="113"/>
      <c r="F207" s="113"/>
      <c r="G207" s="6" t="s">
        <v>22</v>
      </c>
      <c r="I207" s="132" t="s">
        <v>29</v>
      </c>
      <c r="J207" s="132"/>
      <c r="K207" s="132"/>
      <c r="L207" s="132"/>
      <c r="M207" s="132"/>
      <c r="N207" s="132"/>
      <c r="O207" s="6" t="s">
        <v>23</v>
      </c>
    </row>
    <row r="208" spans="1:18" x14ac:dyDescent="0.2">
      <c r="A208" s="113"/>
      <c r="B208" s="113"/>
      <c r="C208" s="113"/>
      <c r="D208" s="113"/>
      <c r="E208" s="113"/>
      <c r="F208" s="113"/>
      <c r="G208" s="5" t="s">
        <v>42</v>
      </c>
      <c r="I208" s="132"/>
      <c r="J208" s="132"/>
      <c r="K208" s="132"/>
      <c r="L208" s="132"/>
      <c r="M208" s="132"/>
      <c r="N208" s="132"/>
      <c r="O208" s="5" t="s">
        <v>43</v>
      </c>
    </row>
    <row r="230" spans="1:18" ht="26.25" customHeight="1" x14ac:dyDescent="0.2">
      <c r="A230" s="130" t="s">
        <v>48</v>
      </c>
      <c r="B230" s="130"/>
      <c r="C230" s="130"/>
      <c r="D230" s="130"/>
      <c r="E230" s="130"/>
      <c r="F230" s="130"/>
      <c r="G230" s="130"/>
      <c r="H230" s="130"/>
      <c r="I230" s="130" t="s">
        <v>49</v>
      </c>
      <c r="J230" s="130"/>
      <c r="K230" s="130"/>
      <c r="L230" s="130"/>
      <c r="M230" s="130"/>
      <c r="N230" s="130"/>
      <c r="O230" s="130"/>
      <c r="P230" s="130"/>
      <c r="Q230" s="130"/>
      <c r="R230" s="130"/>
    </row>
    <row r="258" spans="1:18" x14ac:dyDescent="0.2">
      <c r="A258" s="129" t="s">
        <v>18</v>
      </c>
      <c r="B258" s="129"/>
      <c r="C258" s="129"/>
      <c r="D258" s="129"/>
      <c r="E258" s="129"/>
      <c r="F258" s="129"/>
    </row>
    <row r="259" spans="1:18" x14ac:dyDescent="0.2">
      <c r="A259" s="114"/>
      <c r="B259" s="114"/>
      <c r="C259" s="114"/>
      <c r="D259" s="114"/>
      <c r="E259" s="114"/>
      <c r="F259" s="114"/>
    </row>
    <row r="260" spans="1:18" ht="15.75" x14ac:dyDescent="0.25">
      <c r="A260" s="126" t="s">
        <v>50</v>
      </c>
      <c r="B260" s="126"/>
      <c r="C260" s="126"/>
      <c r="D260" s="126"/>
      <c r="E260" s="126"/>
      <c r="F260" s="126"/>
      <c r="G260" s="126"/>
      <c r="H260" s="126"/>
      <c r="I260" s="55">
        <f>Codes!A125</f>
        <v>0.6523605150214592</v>
      </c>
    </row>
    <row r="262" spans="1:18" ht="27" customHeight="1" x14ac:dyDescent="0.2">
      <c r="A262" s="130" t="s">
        <v>51</v>
      </c>
      <c r="B262" s="130"/>
      <c r="C262" s="130"/>
      <c r="D262" s="130"/>
      <c r="E262" s="130"/>
      <c r="F262" s="130"/>
      <c r="G262" s="130"/>
      <c r="H262" s="130"/>
      <c r="I262" s="130" t="s">
        <v>52</v>
      </c>
      <c r="J262" s="130"/>
      <c r="K262" s="130"/>
      <c r="L262" s="130"/>
      <c r="M262" s="130"/>
      <c r="N262" s="130"/>
      <c r="O262" s="130"/>
      <c r="P262" s="130"/>
      <c r="Q262" s="130"/>
      <c r="R262" s="130"/>
    </row>
    <row r="264" spans="1:18" x14ac:dyDescent="0.2">
      <c r="A264" s="113" t="s">
        <v>28</v>
      </c>
      <c r="B264" s="113"/>
      <c r="C264" s="113"/>
      <c r="D264" s="113"/>
      <c r="E264" s="113"/>
      <c r="F264" s="113"/>
      <c r="G264" s="6" t="s">
        <v>22</v>
      </c>
      <c r="I264" s="132" t="s">
        <v>29</v>
      </c>
      <c r="J264" s="132"/>
      <c r="K264" s="132"/>
      <c r="L264" s="132"/>
      <c r="M264" s="132"/>
      <c r="N264" s="132"/>
      <c r="O264" s="6" t="s">
        <v>23</v>
      </c>
    </row>
    <row r="265" spans="1:18" x14ac:dyDescent="0.2">
      <c r="A265" s="113"/>
      <c r="B265" s="113"/>
      <c r="C265" s="113"/>
      <c r="D265" s="113"/>
      <c r="E265" s="113"/>
      <c r="F265" s="113"/>
      <c r="G265" s="5" t="s">
        <v>24</v>
      </c>
      <c r="I265" s="132"/>
      <c r="J265" s="132"/>
      <c r="K265" s="132"/>
      <c r="L265" s="132"/>
      <c r="M265" s="132"/>
      <c r="N265" s="132"/>
      <c r="O265" s="5" t="s">
        <v>43</v>
      </c>
    </row>
    <row r="286" spans="1:18" ht="37.5" customHeight="1" x14ac:dyDescent="0.2">
      <c r="A286" s="130" t="s">
        <v>53</v>
      </c>
      <c r="B286" s="130"/>
      <c r="C286" s="130"/>
      <c r="D286" s="130"/>
      <c r="E286" s="130"/>
      <c r="F286" s="130"/>
      <c r="G286" s="130"/>
      <c r="H286" s="130"/>
      <c r="I286" s="130" t="s">
        <v>54</v>
      </c>
      <c r="J286" s="130"/>
      <c r="K286" s="130"/>
      <c r="L286" s="130"/>
      <c r="M286" s="130"/>
      <c r="N286" s="130"/>
      <c r="O286" s="130"/>
      <c r="P286" s="130"/>
      <c r="Q286" s="130"/>
      <c r="R286" s="130"/>
    </row>
    <row r="310" spans="1:18" x14ac:dyDescent="0.2">
      <c r="A310" s="129" t="s">
        <v>19</v>
      </c>
      <c r="B310" s="129"/>
      <c r="C310" s="129"/>
      <c r="D310" s="129"/>
      <c r="E310" s="129"/>
      <c r="F310" s="129"/>
    </row>
    <row r="311" spans="1:18" ht="37.5" customHeight="1" x14ac:dyDescent="0.2">
      <c r="A311" s="130" t="s">
        <v>55</v>
      </c>
      <c r="B311" s="130"/>
      <c r="C311" s="130"/>
      <c r="D311" s="130"/>
      <c r="E311" s="130"/>
      <c r="F311" s="130"/>
      <c r="G311" s="130"/>
      <c r="H311" s="130"/>
      <c r="I311" s="130" t="s">
        <v>56</v>
      </c>
      <c r="J311" s="130"/>
      <c r="K311" s="130"/>
      <c r="L311" s="130"/>
      <c r="M311" s="130"/>
      <c r="N311" s="130"/>
      <c r="O311" s="130"/>
      <c r="P311" s="130"/>
      <c r="Q311" s="130"/>
      <c r="R311" s="130"/>
    </row>
    <row r="312" spans="1:18" x14ac:dyDescent="0.2">
      <c r="A312" s="132" t="s">
        <v>28</v>
      </c>
      <c r="B312" s="132"/>
      <c r="C312" s="132"/>
      <c r="D312" s="132"/>
      <c r="E312" s="132"/>
      <c r="F312" s="132"/>
      <c r="G312" s="6" t="s">
        <v>22</v>
      </c>
      <c r="I312" s="132" t="s">
        <v>29</v>
      </c>
      <c r="J312" s="132"/>
      <c r="K312" s="132"/>
      <c r="L312" s="132"/>
      <c r="M312" s="132"/>
      <c r="N312" s="132"/>
      <c r="O312" s="6" t="s">
        <v>23</v>
      </c>
    </row>
    <row r="313" spans="1:18" x14ac:dyDescent="0.2">
      <c r="A313" s="132"/>
      <c r="B313" s="132"/>
      <c r="C313" s="132"/>
      <c r="D313" s="132"/>
      <c r="E313" s="132"/>
      <c r="F313" s="132"/>
      <c r="G313" s="5" t="s">
        <v>42</v>
      </c>
      <c r="I313" s="132"/>
      <c r="J313" s="132"/>
      <c r="K313" s="132"/>
      <c r="L313" s="132"/>
      <c r="M313" s="132"/>
      <c r="N313" s="132"/>
      <c r="O313" s="5" t="s">
        <v>43</v>
      </c>
    </row>
    <row r="329" spans="1:18" x14ac:dyDescent="0.2">
      <c r="A329" s="130" t="s">
        <v>57</v>
      </c>
      <c r="B329" s="130"/>
      <c r="C329" s="130"/>
      <c r="D329" s="130"/>
      <c r="E329" s="130"/>
      <c r="F329" s="130"/>
      <c r="G329" s="130"/>
      <c r="H329" s="130"/>
      <c r="I329" s="130" t="s">
        <v>58</v>
      </c>
      <c r="J329" s="130"/>
      <c r="K329" s="130"/>
      <c r="L329" s="130"/>
      <c r="M329" s="130"/>
      <c r="N329" s="130"/>
      <c r="O329" s="130"/>
      <c r="P329" s="130"/>
      <c r="Q329" s="130"/>
      <c r="R329" s="130"/>
    </row>
  </sheetData>
  <mergeCells count="54">
    <mergeCell ref="A1:AM1"/>
    <mergeCell ref="A17:F18"/>
    <mergeCell ref="A83:F84"/>
    <mergeCell ref="A81:H81"/>
    <mergeCell ref="I81:R81"/>
    <mergeCell ref="I83:N84"/>
    <mergeCell ref="A36:H36"/>
    <mergeCell ref="I36:R36"/>
    <mergeCell ref="A55:H55"/>
    <mergeCell ref="I55:R55"/>
    <mergeCell ref="I206:R206"/>
    <mergeCell ref="A150:H150"/>
    <mergeCell ref="I150:R150"/>
    <mergeCell ref="I152:N153"/>
    <mergeCell ref="A329:H329"/>
    <mergeCell ref="I329:R329"/>
    <mergeCell ref="A230:H230"/>
    <mergeCell ref="I230:R230"/>
    <mergeCell ref="A258:F258"/>
    <mergeCell ref="I207:N208"/>
    <mergeCell ref="A179:H179"/>
    <mergeCell ref="I312:N313"/>
    <mergeCell ref="A311:H311"/>
    <mergeCell ref="I311:R311"/>
    <mergeCell ref="A312:F313"/>
    <mergeCell ref="A262:H262"/>
    <mergeCell ref="I262:R262"/>
    <mergeCell ref="A286:H286"/>
    <mergeCell ref="I286:R286"/>
    <mergeCell ref="A310:F310"/>
    <mergeCell ref="I264:N265"/>
    <mergeCell ref="I179:Q179"/>
    <mergeCell ref="A3:F3"/>
    <mergeCell ref="A13:F13"/>
    <mergeCell ref="A2:E2"/>
    <mergeCell ref="A4:F4"/>
    <mergeCell ref="A8:F8"/>
    <mergeCell ref="I37:M38"/>
    <mergeCell ref="A5:D5"/>
    <mergeCell ref="A6:E6"/>
    <mergeCell ref="I116:Q116"/>
    <mergeCell ref="A116:H116"/>
    <mergeCell ref="A260:H260"/>
    <mergeCell ref="A9:F9"/>
    <mergeCell ref="A7:F7"/>
    <mergeCell ref="A10:F10"/>
    <mergeCell ref="A11:F11"/>
    <mergeCell ref="A205:F205"/>
    <mergeCell ref="A206:H206"/>
    <mergeCell ref="A148:G148"/>
    <mergeCell ref="A37:E38"/>
    <mergeCell ref="A35:C35"/>
    <mergeCell ref="A77:D77"/>
    <mergeCell ref="A146:E146"/>
  </mergeCells>
  <hyperlinks>
    <hyperlink ref="A3:F3" location="Dashboard!A13" display="SECTION 1: CURRENT MSME FINANCING POLICIES LANDSCAPE" xr:uid="{4623446F-450E-4B99-8D53-DED90C7D77AC}"/>
    <hyperlink ref="A4:F4" location="Dashboard!A35" display="SECTION 2: TYPE OF POLICY" xr:uid="{D82B8EFA-8B47-4D6F-B4C4-F588B921E169}"/>
    <hyperlink ref="A5:D5" location="Dashboard!A77" display="SECTION 3: TARGETING OF GROUPS" xr:uid="{86B1B110-C7C7-404B-9DAD-487574C86593}"/>
    <hyperlink ref="A6:E6" location="Dashboard!A146" display="SECTION 4: TARGETING OF SECTORS" xr:uid="{AFA3A48A-1FA7-4087-B13E-3584D6A4D3ED}"/>
    <hyperlink ref="A7:F7" location="Dashboard!A205" display="SECTION 5: UTILIZATION OF FINANCING VEHICLES" xr:uid="{B167C520-3244-4FAF-9A10-4B4C4C80AECD}"/>
    <hyperlink ref="A8:F8" location="Dashboard!A258" display="SECTION 6: UTILIZATION OF ENABLING INFRASTRUCTURE TOOLS" xr:uid="{A5716D8E-5E8C-4636-B5A1-C27DCD193B0B}"/>
    <hyperlink ref="A9:F9" location="Dashboard!A310" display="SECTION 7: MONITORING AND EVALUATION" xr:uid="{21055E85-5134-4618-A3EB-9F23D67FE5AC}"/>
  </hyperlinks>
  <pageMargins left="0.7" right="0.7" top="0.78740157499999996" bottom="0.78740157499999996"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EF8999B-E3EB-4317-B724-8C63816FC818}">
          <x14:formula1>
            <xm:f>'Drop-down'!$A$42:$A$45</xm:f>
          </x14:formula1>
          <xm:sqref>H18 H84 O84 H153 O153 O208 O265 O313 H38 N38</xm:sqref>
        </x14:dataValidation>
        <x14:dataValidation type="list" allowBlank="1" showInputMessage="1" showErrorMessage="1" xr:uid="{CF234BD9-AEDA-4834-8A67-B7B1B9AC86CE}">
          <x14:formula1>
            <xm:f>'Drop-down'!$A$11:$A$15</xm:f>
          </x14:formula1>
          <xm:sqref>G18 G84 G153 G208 G265 G313 F38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6A784-8C29-42CF-A769-C3F105E223B9}">
  <dimension ref="A1:AM29"/>
  <sheetViews>
    <sheetView tabSelected="1" topLeftCell="A13" workbookViewId="0"/>
  </sheetViews>
  <sheetFormatPr defaultColWidth="11.42578125" defaultRowHeight="14.25" x14ac:dyDescent="0.2"/>
  <cols>
    <col min="1" max="1" width="33.140625" style="5" bestFit="1" customWidth="1"/>
    <col min="2" max="2" width="40" style="5" bestFit="1" customWidth="1"/>
    <col min="3" max="3" width="52.42578125" style="5" bestFit="1" customWidth="1"/>
    <col min="4" max="4" width="17.28515625" style="5" customWidth="1"/>
    <col min="5" max="5" width="33.42578125" style="5" bestFit="1" customWidth="1"/>
    <col min="6" max="6" width="33.5703125" style="5" bestFit="1" customWidth="1"/>
    <col min="7" max="16384" width="11.42578125" style="5"/>
  </cols>
  <sheetData>
    <row r="1" spans="1:39" ht="25.5" customHeight="1" x14ac:dyDescent="0.2">
      <c r="A1" s="110" t="s">
        <v>6</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2"/>
    </row>
    <row r="3" spans="1:39" x14ac:dyDescent="0.2">
      <c r="A3" s="5" t="s">
        <v>59</v>
      </c>
    </row>
    <row r="5" spans="1:39" x14ac:dyDescent="0.2">
      <c r="A5" s="5" t="s">
        <v>60</v>
      </c>
    </row>
    <row r="6" spans="1:39" x14ac:dyDescent="0.2">
      <c r="A6" s="5" t="s">
        <v>61</v>
      </c>
    </row>
    <row r="7" spans="1:39" x14ac:dyDescent="0.2">
      <c r="A7" s="5" t="s">
        <v>62</v>
      </c>
    </row>
    <row r="9" spans="1:39" x14ac:dyDescent="0.2">
      <c r="A9" s="5" t="s">
        <v>63</v>
      </c>
    </row>
    <row r="10" spans="1:39" x14ac:dyDescent="0.2">
      <c r="A10" s="5" t="s">
        <v>64</v>
      </c>
    </row>
    <row r="11" spans="1:39" ht="68.25" customHeight="1" x14ac:dyDescent="0.2">
      <c r="A11" s="137" t="s">
        <v>65</v>
      </c>
      <c r="B11" s="137"/>
      <c r="C11" s="137"/>
      <c r="D11" s="137"/>
    </row>
    <row r="13" spans="1:39" x14ac:dyDescent="0.2">
      <c r="A13" s="5" t="s">
        <v>66</v>
      </c>
    </row>
    <row r="15" spans="1:39" x14ac:dyDescent="0.2">
      <c r="A15" s="66" t="s">
        <v>67</v>
      </c>
      <c r="B15" s="66" t="s">
        <v>68</v>
      </c>
      <c r="C15" s="66" t="s">
        <v>69</v>
      </c>
      <c r="D15" s="66" t="s">
        <v>70</v>
      </c>
      <c r="E15" s="66" t="s">
        <v>71</v>
      </c>
      <c r="F15" s="66" t="s">
        <v>72</v>
      </c>
    </row>
    <row r="16" spans="1:39" x14ac:dyDescent="0.2">
      <c r="A16" s="64" t="s">
        <v>73</v>
      </c>
      <c r="B16" s="64" t="s">
        <v>74</v>
      </c>
      <c r="C16" s="64" t="s">
        <v>75</v>
      </c>
      <c r="D16" s="65" t="s">
        <v>76</v>
      </c>
      <c r="E16" s="64" t="s">
        <v>77</v>
      </c>
      <c r="F16" s="64" t="s">
        <v>78</v>
      </c>
    </row>
    <row r="17" spans="1:6" x14ac:dyDescent="0.2">
      <c r="A17" s="64" t="s">
        <v>79</v>
      </c>
      <c r="B17" s="64" t="s">
        <v>80</v>
      </c>
      <c r="C17" s="64" t="s">
        <v>81</v>
      </c>
      <c r="D17" s="65" t="s">
        <v>82</v>
      </c>
      <c r="E17" s="64" t="s">
        <v>83</v>
      </c>
      <c r="F17" s="64" t="s">
        <v>84</v>
      </c>
    </row>
    <row r="18" spans="1:6" x14ac:dyDescent="0.2">
      <c r="A18" s="64" t="s">
        <v>85</v>
      </c>
      <c r="B18" s="64" t="s">
        <v>86</v>
      </c>
      <c r="C18" s="64" t="s">
        <v>87</v>
      </c>
      <c r="D18" s="65" t="s">
        <v>88</v>
      </c>
      <c r="E18" s="64" t="s">
        <v>89</v>
      </c>
      <c r="F18" s="64" t="s">
        <v>90</v>
      </c>
    </row>
    <row r="19" spans="1:6" x14ac:dyDescent="0.2">
      <c r="A19" s="64" t="s">
        <v>91</v>
      </c>
      <c r="B19" s="64" t="s">
        <v>92</v>
      </c>
      <c r="C19" s="64" t="s">
        <v>93</v>
      </c>
      <c r="D19" s="65" t="s">
        <v>94</v>
      </c>
      <c r="E19" s="64" t="s">
        <v>95</v>
      </c>
      <c r="F19" s="64" t="s">
        <v>96</v>
      </c>
    </row>
    <row r="20" spans="1:6" x14ac:dyDescent="0.2">
      <c r="A20" s="64" t="s">
        <v>97</v>
      </c>
      <c r="B20" s="64" t="s">
        <v>98</v>
      </c>
      <c r="C20" s="64" t="s">
        <v>99</v>
      </c>
      <c r="D20" s="64" t="s">
        <v>100</v>
      </c>
      <c r="E20" s="64" t="s">
        <v>101</v>
      </c>
      <c r="F20" s="64" t="s">
        <v>102</v>
      </c>
    </row>
    <row r="21" spans="1:6" x14ac:dyDescent="0.2">
      <c r="A21" s="64" t="s">
        <v>103</v>
      </c>
      <c r="B21" s="64" t="s">
        <v>104</v>
      </c>
      <c r="C21" s="64" t="s">
        <v>105</v>
      </c>
      <c r="D21" s="64" t="s">
        <v>106</v>
      </c>
      <c r="E21" s="64" t="s">
        <v>107</v>
      </c>
      <c r="F21" s="64" t="s">
        <v>108</v>
      </c>
    </row>
    <row r="22" spans="1:6" x14ac:dyDescent="0.2">
      <c r="A22" s="64" t="s">
        <v>109</v>
      </c>
      <c r="B22" s="64" t="s">
        <v>110</v>
      </c>
      <c r="C22" s="64" t="s">
        <v>111</v>
      </c>
      <c r="D22" s="64" t="s">
        <v>112</v>
      </c>
      <c r="E22" s="64" t="s">
        <v>113</v>
      </c>
      <c r="F22" s="64" t="s">
        <v>114</v>
      </c>
    </row>
    <row r="23" spans="1:6" x14ac:dyDescent="0.2">
      <c r="A23" s="64" t="s">
        <v>115</v>
      </c>
      <c r="B23" s="64" t="s">
        <v>116</v>
      </c>
      <c r="C23" s="64" t="s">
        <v>117</v>
      </c>
      <c r="D23" s="65" t="s">
        <v>118</v>
      </c>
      <c r="E23" s="64" t="s">
        <v>119</v>
      </c>
      <c r="F23" s="64" t="s">
        <v>120</v>
      </c>
    </row>
    <row r="24" spans="1:6" x14ac:dyDescent="0.2">
      <c r="A24" s="64" t="s">
        <v>121</v>
      </c>
      <c r="B24" s="64" t="s">
        <v>122</v>
      </c>
      <c r="C24" s="64" t="s">
        <v>123</v>
      </c>
      <c r="D24" s="65" t="s">
        <v>124</v>
      </c>
      <c r="E24" s="64" t="s">
        <v>125</v>
      </c>
      <c r="F24" s="64" t="s">
        <v>126</v>
      </c>
    </row>
    <row r="25" spans="1:6" x14ac:dyDescent="0.2">
      <c r="A25" s="64"/>
      <c r="B25" s="64"/>
      <c r="C25" s="64" t="s">
        <v>127</v>
      </c>
      <c r="D25" s="65" t="s">
        <v>128</v>
      </c>
      <c r="E25" s="64" t="s">
        <v>129</v>
      </c>
      <c r="F25" s="64" t="s">
        <v>130</v>
      </c>
    </row>
    <row r="26" spans="1:6" x14ac:dyDescent="0.2">
      <c r="A26" s="64"/>
      <c r="B26" s="64"/>
      <c r="C26" s="64" t="s">
        <v>131</v>
      </c>
      <c r="D26" s="65" t="s">
        <v>132</v>
      </c>
      <c r="E26" s="64" t="s">
        <v>133</v>
      </c>
      <c r="F26" s="64"/>
    </row>
    <row r="27" spans="1:6" x14ac:dyDescent="0.2">
      <c r="A27" s="64"/>
      <c r="B27" s="64"/>
      <c r="C27" s="64" t="s">
        <v>134</v>
      </c>
      <c r="D27" s="65" t="s">
        <v>135</v>
      </c>
      <c r="E27" s="64" t="s">
        <v>136</v>
      </c>
      <c r="F27" s="64"/>
    </row>
    <row r="28" spans="1:6" x14ac:dyDescent="0.2">
      <c r="A28" s="64"/>
      <c r="B28" s="64"/>
      <c r="C28" s="64"/>
      <c r="D28" s="65" t="s">
        <v>137</v>
      </c>
      <c r="E28" s="64" t="s">
        <v>138</v>
      </c>
      <c r="F28" s="64"/>
    </row>
    <row r="29" spans="1:6" ht="28.5" x14ac:dyDescent="0.2">
      <c r="A29" s="64"/>
      <c r="B29" s="64"/>
      <c r="C29" s="64"/>
      <c r="D29" s="65" t="s">
        <v>139</v>
      </c>
      <c r="E29" s="64"/>
      <c r="F29" s="64"/>
    </row>
  </sheetData>
  <mergeCells count="1">
    <mergeCell ref="A11:D1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4D9F-350D-4B66-A414-AB6BD06842EE}">
  <dimension ref="A1:AM35"/>
  <sheetViews>
    <sheetView workbookViewId="0">
      <selection activeCell="B13" sqref="B12:B13"/>
    </sheetView>
  </sheetViews>
  <sheetFormatPr defaultColWidth="11.42578125" defaultRowHeight="14.25" x14ac:dyDescent="0.2"/>
  <cols>
    <col min="1" max="1" width="40" style="5" bestFit="1" customWidth="1"/>
    <col min="2" max="2" width="127.5703125" style="5" bestFit="1" customWidth="1"/>
    <col min="3" max="16384" width="11.42578125" style="5"/>
  </cols>
  <sheetData>
    <row r="1" spans="1:39" ht="25.5" customHeight="1" x14ac:dyDescent="0.2">
      <c r="A1" s="110" t="s">
        <v>8</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2"/>
    </row>
    <row r="2" spans="1:39" x14ac:dyDescent="0.2">
      <c r="A2" s="6" t="s">
        <v>140</v>
      </c>
    </row>
    <row r="3" spans="1:39" x14ac:dyDescent="0.2">
      <c r="A3" s="6"/>
    </row>
    <row r="4" spans="1:39" x14ac:dyDescent="0.2">
      <c r="A4" s="73" t="s">
        <v>141</v>
      </c>
      <c r="B4" s="74" t="s">
        <v>142</v>
      </c>
    </row>
    <row r="5" spans="1:39" x14ac:dyDescent="0.2">
      <c r="A5" s="68" t="s">
        <v>143</v>
      </c>
      <c r="B5" s="71" t="s">
        <v>2242</v>
      </c>
    </row>
    <row r="6" spans="1:39" x14ac:dyDescent="0.2">
      <c r="A6" s="79" t="s">
        <v>314</v>
      </c>
      <c r="B6" s="80" t="s">
        <v>144</v>
      </c>
    </row>
    <row r="7" spans="1:39" ht="13.5" customHeight="1" x14ac:dyDescent="0.2">
      <c r="A7" s="68" t="s">
        <v>145</v>
      </c>
      <c r="B7" s="71" t="s">
        <v>146</v>
      </c>
    </row>
    <row r="8" spans="1:39" ht="6" customHeight="1" x14ac:dyDescent="0.2">
      <c r="A8" s="77"/>
      <c r="B8" s="78"/>
    </row>
    <row r="9" spans="1:39" x14ac:dyDescent="0.2">
      <c r="A9" s="67" t="s">
        <v>147</v>
      </c>
      <c r="B9" s="70" t="s">
        <v>142</v>
      </c>
    </row>
    <row r="10" spans="1:39" ht="28.5" x14ac:dyDescent="0.2">
      <c r="A10" s="69" t="s">
        <v>2252</v>
      </c>
      <c r="B10" s="72" t="s">
        <v>2273</v>
      </c>
    </row>
    <row r="11" spans="1:39" ht="28.5" x14ac:dyDescent="0.2">
      <c r="A11" s="69" t="s">
        <v>2270</v>
      </c>
      <c r="B11" s="72" t="s">
        <v>2276</v>
      </c>
    </row>
    <row r="12" spans="1:39" x14ac:dyDescent="0.2">
      <c r="A12" s="69" t="s">
        <v>2272</v>
      </c>
      <c r="B12" s="72" t="s">
        <v>2275</v>
      </c>
    </row>
    <row r="13" spans="1:39" x14ac:dyDescent="0.2">
      <c r="A13" s="69" t="s">
        <v>2248</v>
      </c>
      <c r="B13" s="72" t="s">
        <v>2274</v>
      </c>
    </row>
    <row r="14" spans="1:39" ht="7.5" customHeight="1" x14ac:dyDescent="0.2">
      <c r="A14" s="77"/>
      <c r="B14" s="78"/>
    </row>
    <row r="15" spans="1:39" x14ac:dyDescent="0.2">
      <c r="A15" s="67" t="s">
        <v>152</v>
      </c>
      <c r="B15" s="70" t="s">
        <v>142</v>
      </c>
    </row>
    <row r="16" spans="1:39" ht="28.5" x14ac:dyDescent="0.2">
      <c r="A16" s="69" t="s">
        <v>73</v>
      </c>
      <c r="B16" s="72" t="s">
        <v>153</v>
      </c>
    </row>
    <row r="17" spans="1:2" x14ac:dyDescent="0.2">
      <c r="A17" s="69" t="s">
        <v>79</v>
      </c>
      <c r="B17" s="72" t="s">
        <v>154</v>
      </c>
    </row>
    <row r="18" spans="1:2" x14ac:dyDescent="0.2">
      <c r="A18" s="69" t="s">
        <v>85</v>
      </c>
      <c r="B18" s="72" t="s">
        <v>155</v>
      </c>
    </row>
    <row r="19" spans="1:2" x14ac:dyDescent="0.2">
      <c r="A19" s="69" t="s">
        <v>91</v>
      </c>
      <c r="B19" s="72" t="s">
        <v>156</v>
      </c>
    </row>
    <row r="20" spans="1:2" x14ac:dyDescent="0.2">
      <c r="A20" s="69" t="s">
        <v>97</v>
      </c>
      <c r="B20" s="72" t="s">
        <v>157</v>
      </c>
    </row>
    <row r="21" spans="1:2" x14ac:dyDescent="0.2">
      <c r="A21" s="69" t="s">
        <v>103</v>
      </c>
      <c r="B21" s="72" t="s">
        <v>158</v>
      </c>
    </row>
    <row r="22" spans="1:2" x14ac:dyDescent="0.2">
      <c r="A22" s="69" t="s">
        <v>109</v>
      </c>
      <c r="B22" s="72" t="s">
        <v>159</v>
      </c>
    </row>
    <row r="23" spans="1:2" ht="28.5" x14ac:dyDescent="0.2">
      <c r="A23" s="69" t="s">
        <v>115</v>
      </c>
      <c r="B23" s="72" t="s">
        <v>160</v>
      </c>
    </row>
    <row r="24" spans="1:2" x14ac:dyDescent="0.2">
      <c r="A24" s="69" t="s">
        <v>121</v>
      </c>
      <c r="B24" s="72" t="s">
        <v>161</v>
      </c>
    </row>
    <row r="25" spans="1:2" ht="5.25" customHeight="1" x14ac:dyDescent="0.2">
      <c r="A25" s="77"/>
      <c r="B25" s="78"/>
    </row>
    <row r="26" spans="1:2" x14ac:dyDescent="0.2">
      <c r="A26" s="67" t="s">
        <v>121</v>
      </c>
      <c r="B26" s="70" t="s">
        <v>142</v>
      </c>
    </row>
    <row r="27" spans="1:2" x14ac:dyDescent="0.2">
      <c r="A27" s="69" t="s">
        <v>74</v>
      </c>
      <c r="B27" s="72" t="s">
        <v>162</v>
      </c>
    </row>
    <row r="28" spans="1:2" x14ac:dyDescent="0.2">
      <c r="A28" s="69" t="s">
        <v>80</v>
      </c>
      <c r="B28" s="72" t="s">
        <v>163</v>
      </c>
    </row>
    <row r="29" spans="1:2" ht="28.5" x14ac:dyDescent="0.2">
      <c r="A29" s="69" t="s">
        <v>164</v>
      </c>
      <c r="B29" s="72" t="s">
        <v>165</v>
      </c>
    </row>
    <row r="30" spans="1:2" ht="28.5" x14ac:dyDescent="0.2">
      <c r="A30" s="69" t="s">
        <v>92</v>
      </c>
      <c r="B30" s="72" t="s">
        <v>166</v>
      </c>
    </row>
    <row r="31" spans="1:2" x14ac:dyDescent="0.2">
      <c r="A31" s="69" t="s">
        <v>98</v>
      </c>
      <c r="B31" s="72" t="s">
        <v>167</v>
      </c>
    </row>
    <row r="32" spans="1:2" x14ac:dyDescent="0.2">
      <c r="A32" s="69" t="s">
        <v>104</v>
      </c>
      <c r="B32" s="72" t="s">
        <v>168</v>
      </c>
    </row>
    <row r="33" spans="1:2" x14ac:dyDescent="0.2">
      <c r="A33" s="69" t="s">
        <v>110</v>
      </c>
      <c r="B33" s="72" t="s">
        <v>169</v>
      </c>
    </row>
    <row r="34" spans="1:2" ht="28.5" x14ac:dyDescent="0.2">
      <c r="A34" s="69" t="s">
        <v>116</v>
      </c>
      <c r="B34" s="72" t="s">
        <v>170</v>
      </c>
    </row>
    <row r="35" spans="1:2" x14ac:dyDescent="0.2">
      <c r="A35" s="75" t="s">
        <v>122</v>
      </c>
      <c r="B35" s="76" t="s">
        <v>171</v>
      </c>
    </row>
  </sheetData>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AA15-C8E5-489F-92B3-B29BFFFE1B06}">
  <dimension ref="B1:S222"/>
  <sheetViews>
    <sheetView topLeftCell="H79" zoomScale="70" zoomScaleNormal="70" workbookViewId="0">
      <selection activeCell="P105" sqref="P105"/>
    </sheetView>
  </sheetViews>
  <sheetFormatPr defaultColWidth="9.140625" defaultRowHeight="15" x14ac:dyDescent="0.25"/>
  <cols>
    <col min="4" max="4" width="39" customWidth="1"/>
    <col min="5" max="5" width="24.85546875" customWidth="1"/>
    <col min="6" max="6" width="23.85546875" customWidth="1"/>
    <col min="7" max="7" width="14.42578125" customWidth="1"/>
    <col min="8" max="8" width="37.5703125" customWidth="1"/>
    <col min="9" max="9" width="13.7109375" customWidth="1"/>
    <col min="10" max="10" width="12.7109375" customWidth="1"/>
    <col min="12" max="12" width="35.5703125" bestFit="1" customWidth="1"/>
    <col min="13" max="13" width="13.42578125" customWidth="1"/>
    <col min="14" max="14" width="12.5703125" customWidth="1"/>
    <col min="16" max="16" width="35.140625" customWidth="1"/>
    <col min="17" max="17" width="21.28515625" customWidth="1"/>
    <col min="18" max="18" width="18.7109375" customWidth="1"/>
  </cols>
  <sheetData>
    <row r="1" spans="3:6" x14ac:dyDescent="0.25">
      <c r="C1" t="s">
        <v>172</v>
      </c>
      <c r="D1" t="str">
        <f>Dashboard!G18</f>
        <v>Western Africa</v>
      </c>
      <c r="E1" t="str">
        <f>Dashboard!H18</f>
        <v>Low-income</v>
      </c>
    </row>
    <row r="2" spans="3:6" x14ac:dyDescent="0.25">
      <c r="C2">
        <f>Codes!A4</f>
        <v>4.5</v>
      </c>
      <c r="D2" s="14">
        <f>Codes!A6</f>
        <v>3.9375</v>
      </c>
      <c r="E2" s="14">
        <f>Codes!A10</f>
        <v>3.0434782608695654</v>
      </c>
    </row>
    <row r="3" spans="3:6" x14ac:dyDescent="0.25">
      <c r="C3" s="14"/>
    </row>
    <row r="4" spans="3:6" x14ac:dyDescent="0.25">
      <c r="C4" s="14"/>
    </row>
    <row r="9" spans="3:6" x14ac:dyDescent="0.25">
      <c r="E9" t="s">
        <v>22</v>
      </c>
    </row>
    <row r="10" spans="3:6" x14ac:dyDescent="0.25">
      <c r="D10" t="s">
        <v>173</v>
      </c>
      <c r="E10" s="13" t="str">
        <f>Dashboard!$G$84</f>
        <v>Middle Africa</v>
      </c>
      <c r="F10" t="s">
        <v>174</v>
      </c>
    </row>
    <row r="11" spans="3:6" x14ac:dyDescent="0.25">
      <c r="D11" t="s">
        <v>131</v>
      </c>
      <c r="E11" s="15">
        <f>(COUNTIFS('MSME policies catalogue'!P6:P2000, "*Other*",'MSME policies catalogue'!C6:C2000, Dashboard!$G$84 ))/COUNTIFS('MSME policies catalogue'!C6:C2000, Dashboard!$G$84, 'MSME policies catalogue'!P6:P2000,"&lt;&gt;No information found",'MSME policies catalogue'!P6:P2000,"&lt;&gt;No specific target group")</f>
        <v>0</v>
      </c>
      <c r="F11" s="15">
        <f>(COUNTIF('MSME policies catalogue'!$P$6:$P$2000, "*Other*"))/(COUNTIFS('MSME policies catalogue'!$P$6:$P$2000, "&lt;&gt;No information found", 'MSME policies catalogue'!$P$6:$P$2000,"&lt;&gt;No specific target group", 'MSME policies catalogue'!$P$6:$P$2000,"&lt;&gt;"))</f>
        <v>7.6335877862595417E-3</v>
      </c>
    </row>
    <row r="12" spans="3:6" x14ac:dyDescent="0.25">
      <c r="D12" t="s">
        <v>99</v>
      </c>
      <c r="E12" s="15">
        <f>(COUNTIFS('MSME policies catalogue'!P6:P2000, "*Urban livelihoods*",'MSME policies catalogue'!C6:C2000, Dashboard!$G$84 ))/COUNTIFS('MSME policies catalogue'!C6:C2000, Dashboard!$G$84, 'MSME policies catalogue'!P6:P2000,"&lt;&gt;No information found",'MSME policies catalogue'!P6:P2000,"&lt;&gt;No specific target group")</f>
        <v>0</v>
      </c>
      <c r="F12" s="15">
        <f>(COUNTIF('MSME policies catalogue'!$P$6:$P$248, "*Urban livelihoods*"))/(COUNTIFS('MSME policies catalogue'!$P$6:$P$2000, "&lt;&gt;No information found", 'MSME policies catalogue'!$P$6:$P$2000,"&lt;&gt;No specific target group", 'MSME policies catalogue'!$P$6:$P$2000,"&lt;&gt;"))</f>
        <v>1.5267175572519083E-2</v>
      </c>
    </row>
    <row r="13" spans="3:6" x14ac:dyDescent="0.25">
      <c r="D13" t="s">
        <v>105</v>
      </c>
      <c r="E13" s="15">
        <f>(COUNTIFS('MSME policies catalogue'!P6:P2000, "*Migrants*",'MSME policies catalogue'!C6:C2000, Dashboard!$G$84 ))/COUNTIFS('MSME policies catalogue'!C6:C2000, Dashboard!$G$84, 'MSME policies catalogue'!P6:P2000,"&lt;&gt;No information found",'MSME policies catalogue'!P6:P2000,"&lt;&gt;No specific target group")</f>
        <v>0</v>
      </c>
      <c r="F13" s="15">
        <f>(COUNTIF('MSME policies catalogue'!$P$6:$P$2000, "*Migrants*"))/(COUNTIFS('MSME policies catalogue'!$P$6:$P$2000, "&lt;&gt;No information found", 'MSME policies catalogue'!$P$6:$P$2000,"&lt;&gt;No specific target group", 'MSME policies catalogue'!$P$6:$P$2000,"&lt;&gt;"))</f>
        <v>1.5267175572519083E-2</v>
      </c>
    </row>
    <row r="14" spans="3:6" x14ac:dyDescent="0.25">
      <c r="D14" t="s">
        <v>117</v>
      </c>
      <c r="E14" s="15">
        <f>(COUNTIFS('MSME policies catalogue'!P6:P2000, "*Adversely affected businesses by the COVID-19 crisis*",'MSME policies catalogue'!C6:C2000, Dashboard!$G$84 ))/COUNTIFS('MSME policies catalogue'!C6:C2000, Dashboard!$G$84, 'MSME policies catalogue'!P6:P2000,"&lt;&gt;No information found",'MSME policies catalogue'!P6:P2000,"&lt;&gt;No specific target group")</f>
        <v>9.0909090909090912E-2</v>
      </c>
      <c r="F14" s="15">
        <f>(COUNTIF('MSME policies catalogue'!$P$6:$P$2000, "*Adversely affected businesses by the COVID-19 crisis*"))/(COUNTIFS('MSME policies catalogue'!$P$6:$P$2000, "&lt;&gt;No information found", 'MSME policies catalogue'!$P$6:$P$2000,"&lt;&gt;No specific target group", 'MSME policies catalogue'!$P$6:$P$2000,"&lt;&gt;"))</f>
        <v>0.11450381679389313</v>
      </c>
    </row>
    <row r="15" spans="3:6" x14ac:dyDescent="0.25">
      <c r="D15" t="s">
        <v>111</v>
      </c>
      <c r="E15" s="15">
        <f>(COUNTIFS('MSME policies catalogue'!P6:P2000, "*People with disabilities*",'MSME policies catalogue'!C6:C2000, Dashboard!$G$84 ))/COUNTIFS('MSME policies catalogue'!C6:C2000, Dashboard!$G$84, 'MSME policies catalogue'!P6:P2000,"&lt;&gt;No information found",'MSME policies catalogue'!P6:P2000,"&lt;&gt;No specific target group")</f>
        <v>0</v>
      </c>
      <c r="F15" s="15">
        <f>(COUNTIF('MSME policies catalogue'!$P$6:$P$2000, "*People with disabilities*"))/(COUNTIFS('MSME policies catalogue'!$P$6:$P$2000, "&lt;&gt;No information found", 'MSME policies catalogue'!$P$6:$P$2000,"&lt;&gt;No specific target group", 'MSME policies catalogue'!$P$6:$P$2000,"&lt;&gt;"))</f>
        <v>0.12213740458015267</v>
      </c>
    </row>
    <row r="16" spans="3:6" x14ac:dyDescent="0.25">
      <c r="D16" t="s">
        <v>123</v>
      </c>
      <c r="E16" s="15">
        <f>(COUNTIFS('MSME policies catalogue'!P6:P2000, "*Start ups*",'MSME policies catalogue'!C6:C2000, Dashboard!$G$84 ))/COUNTIFS('MSME policies catalogue'!C6:C2000, Dashboard!$G$84, 'MSME policies catalogue'!P6:P2000,"&lt;&gt;No information found",'MSME policies catalogue'!P6:P2000,"&lt;&gt;No specific target group")</f>
        <v>0.18181818181818182</v>
      </c>
      <c r="F16" s="15">
        <f>(COUNTIF('MSME policies catalogue'!$P$6:$P$2000, "*Start ups*"))/(COUNTIFS('MSME policies catalogue'!$P$6:$P$2000, "&lt;&gt;No information found", 'MSME policies catalogue'!$P$6:$P$2000,"&lt;&gt;No specific target group", 'MSME policies catalogue'!$P$6:$P$2000,"&lt;&gt;"))</f>
        <v>0.12977099236641221</v>
      </c>
    </row>
    <row r="17" spans="4:7" x14ac:dyDescent="0.25">
      <c r="D17" t="s">
        <v>93</v>
      </c>
      <c r="E17" s="15">
        <f>(COUNTIFS('MSME policies catalogue'!P6:P2000, "*Rural livelihoods*",'MSME policies catalogue'!C6:C2000, Dashboard!$G$84 ))/COUNTIFS('MSME policies catalogue'!C6:C2000, Dashboard!$G$84, 'MSME policies catalogue'!P6:P2000,"&lt;&gt;No information found",'MSME policies catalogue'!P6:P2000,"&lt;&gt;No specific target group")</f>
        <v>9.0909090909090912E-2</v>
      </c>
      <c r="F17" s="15">
        <f>(COUNTIF('MSME policies catalogue'!$P$6:$P$2000, "*Rural livelihoods*"))/(COUNTIFS('MSME policies catalogue'!$P$6:$P$2000, "&lt;&gt;No information found", 'MSME policies catalogue'!$P$6:$P$2000,"&lt;&gt;No specific target group", 'MSME policies catalogue'!$P$6:$P$2000,"&lt;&gt;"))</f>
        <v>0.20610687022900764</v>
      </c>
    </row>
    <row r="18" spans="4:7" x14ac:dyDescent="0.25">
      <c r="D18" t="s">
        <v>87</v>
      </c>
      <c r="E18" s="15">
        <f>(COUNTIFS('MSME policies catalogue'!P6:P2000, "*Micro enterprises*",'MSME policies catalogue'!C6:C2000, Dashboard!$G$84 ))/COUNTIFS('MSME policies catalogue'!C6:C2000, Dashboard!$G$84, 'MSME policies catalogue'!P6:P2000,"&lt;&gt;No information found",'MSME policies catalogue'!P6:P2000,"&lt;&gt;No specific target group")</f>
        <v>0.18181818181818182</v>
      </c>
      <c r="F18" s="15">
        <f>(COUNTIF('MSME policies catalogue'!$P$6:$P$2000, "*Micro enterprises*"))/(COUNTIFS('MSME policies catalogue'!$P$6:$P$2000, "&lt;&gt;No information found", 'MSME policies catalogue'!$P$6:$P$2000,"&lt;&gt;No specific target group", 'MSME policies catalogue'!$P$6:$P$2000,"&lt;&gt;"))</f>
        <v>0.31297709923664124</v>
      </c>
    </row>
    <row r="19" spans="4:7" x14ac:dyDescent="0.25">
      <c r="D19" t="s">
        <v>81</v>
      </c>
      <c r="E19" s="15">
        <f>(COUNTIFS('MSME policies catalogue'!P6:P2000, "*Youth*",'MSME policies catalogue'!C6:C2000, Dashboard!$G$84 ))/COUNTIFS('MSME policies catalogue'!C6:C2000, Dashboard!$G$84, 'MSME policies catalogue'!P6:P2000,"&lt;&gt;No information found",'MSME policies catalogue'!P6:P2000,"&lt;&gt;No specific target group")</f>
        <v>0.45454545454545453</v>
      </c>
      <c r="F19" s="15">
        <f>(COUNTIF('MSME policies catalogue'!$P$6:$P$2000, "*Youth*"))/(COUNTIFS('MSME policies catalogue'!$P$6:$P$2000, "&lt;&gt;No information found", 'MSME policies catalogue'!$P$6:$P$2000,"&lt;&gt;No specific target group", 'MSME policies catalogue'!$P$6:$P$2000,"&lt;&gt;"))</f>
        <v>0.47328244274809161</v>
      </c>
    </row>
    <row r="20" spans="4:7" x14ac:dyDescent="0.25">
      <c r="D20" t="s">
        <v>75</v>
      </c>
      <c r="E20" s="15">
        <f>(COUNTIFS('MSME policies catalogue'!P6:P2000, "*Women*",'MSME policies catalogue'!C6:C2000, Dashboard!$G$84 ))/COUNTIFS('MSME policies catalogue'!C6:C2000, Dashboard!$G$84, 'MSME policies catalogue'!P6:P2000,"&lt;&gt;No information found",'MSME policies catalogue'!P6:P2000,"&lt;&gt;No specific target group")</f>
        <v>0.36363636363636365</v>
      </c>
      <c r="F20" s="15">
        <f>(COUNTIF('MSME policies catalogue'!$P$6:$P$2000, "*Women*"))/(COUNTIFS('MSME policies catalogue'!$P$6:$P$2000, "&lt;&gt;No information found", 'MSME policies catalogue'!$P$6:$P$2000,"&lt;&gt;No specific target group", 'MSME policies catalogue'!$P$6:$P$2000,"&lt;&gt;"))</f>
        <v>0.48091603053435117</v>
      </c>
    </row>
    <row r="22" spans="4:7" x14ac:dyDescent="0.25">
      <c r="E22" s="15"/>
      <c r="F22" s="15"/>
    </row>
    <row r="23" spans="4:7" x14ac:dyDescent="0.25">
      <c r="D23" t="s">
        <v>173</v>
      </c>
      <c r="E23" t="s">
        <v>175</v>
      </c>
      <c r="F23" t="s">
        <v>176</v>
      </c>
      <c r="G23" t="s">
        <v>177</v>
      </c>
    </row>
    <row r="24" spans="4:7" x14ac:dyDescent="0.25">
      <c r="D24" t="s">
        <v>131</v>
      </c>
      <c r="E24" s="15">
        <f>(COUNTIFS('MSME policies catalogue'!$P$6:$P$2000, "*Other*", 'MSME policies catalogue'!T6:T2000, "Yes"))/COUNTIFS('MSME policies catalogue'!P6:P2000,"&lt;&gt;No information found",'MSME policies catalogue'!P6:P2000,"&lt;&gt;No specific target group", 'MSME policies catalogue'!T6:T2000, "Yes")</f>
        <v>0</v>
      </c>
      <c r="F24" s="15">
        <f>(COUNTIFS('MSME policies catalogue'!P6:P2000, "*Other*", 'MSME policies catalogue'!J6:J2000, "Yes"))/(COUNTIFS('MSME policies catalogue'!P6:P2000,"&lt;&gt;No information found",'MSME policies catalogue'!P6:P2000,"&lt;&gt;No specific target group",'MSME policies catalogue'!J6:J2000, "&lt;&gt;Unsure", 'MSME policies catalogue'!J6:J2000, "Yes" ))</f>
        <v>0</v>
      </c>
      <c r="G24" s="15">
        <f>(COUNTIF('MSME policies catalogue'!$P$6:$P$2000, "*Other*"))/(COUNTIFS('MSME policies catalogue'!$P$6:$P$2000, "&lt;&gt;No information found", 'MSME policies catalogue'!$P$6:$P$2000,"&lt;&gt;No specific target group", 'MSME policies catalogue'!$P$6:$P$2000,"&lt;&gt;"))</f>
        <v>7.6335877862595417E-3</v>
      </c>
    </row>
    <row r="25" spans="4:7" x14ac:dyDescent="0.25">
      <c r="D25" t="s">
        <v>99</v>
      </c>
      <c r="E25" s="15">
        <f>(COUNTIFS('MSME policies catalogue'!P6:P2000, "*Urban livelihoods*",'MSME policies catalogue'!T6:T2000, "Yes"))/COUNTIFS('MSME policies catalogue'!P6:P2000,"&lt;&gt;No information found",'MSME policies catalogue'!P6:P2000,"&lt;&gt;No specific target group", 'MSME policies catalogue'!T6:T2000, "Yes")</f>
        <v>4.3478260869565216E-2</v>
      </c>
      <c r="F25" s="15">
        <f>(COUNTIFS('MSME policies catalogue'!P6:P2000, "*Urban livelihoods*", 'MSME policies catalogue'!J6:J2000, "Yes"))/(COUNTIFS('MSME policies catalogue'!P6:P2000,"&lt;&gt;No information found",'MSME policies catalogue'!P6:P2000,"&lt;&gt;No specific target group",'MSME policies catalogue'!J6:J2000, "&lt;&gt;Unsure", 'MSME policies catalogue'!J6:J2000, "Yes" ))</f>
        <v>3.2786885245901641E-2</v>
      </c>
      <c r="G25" s="15">
        <f>(COUNTIF('MSME policies catalogue'!$P$6:$P$248, "*Urban livelihoods*"))/(COUNTIFS('MSME policies catalogue'!$P$6:$P$2000, "&lt;&gt;No information found", 'MSME policies catalogue'!$P$6:$P$2000,"&lt;&gt;No specific target group", 'MSME policies catalogue'!$P$6:$P$2000,"&lt;&gt;"))</f>
        <v>1.5267175572519083E-2</v>
      </c>
    </row>
    <row r="26" spans="4:7" x14ac:dyDescent="0.25">
      <c r="D26" t="s">
        <v>105</v>
      </c>
      <c r="E26" s="15">
        <f>(COUNTIFS('MSME policies catalogue'!P6:P2000, "*Migrants*", 'MSME policies catalogue'!T6:T2000, "Yes"))/COUNTIFS('MSME policies catalogue'!P6:P2000,"&lt;&gt;No information found",'MSME policies catalogue'!P6:P2000,"&lt;&gt;No specific target group", 'MSME policies catalogue'!T6:T2000, "Yes")</f>
        <v>4.3478260869565216E-2</v>
      </c>
      <c r="F26" s="15">
        <f>(COUNTIFS('MSME policies catalogue'!P6:P2000, "*Migrants*", 'MSME policies catalogue'!J6:J2000, "Yes"))/(COUNTIFS('MSME policies catalogue'!P6:P2000,"&lt;&gt;No information found",'MSME policies catalogue'!P6:P2000,"&lt;&gt;No specific target group",'MSME policies catalogue'!J6:J2000, "&lt;&gt;Unsure", 'MSME policies catalogue'!J6:J2000, "Yes" ))</f>
        <v>3.2786885245901641E-2</v>
      </c>
      <c r="G26" s="15">
        <f>(COUNTIF('MSME policies catalogue'!$P$6:$P$2000, "*Migrants*"))/(COUNTIFS('MSME policies catalogue'!$P$6:$P$2000, "&lt;&gt;No information found", 'MSME policies catalogue'!$P$6:$P$2000,"&lt;&gt;No specific target group", 'MSME policies catalogue'!$P$6:$P$2000,"&lt;&gt;"))</f>
        <v>1.5267175572519083E-2</v>
      </c>
    </row>
    <row r="27" spans="4:7" x14ac:dyDescent="0.25">
      <c r="D27" t="s">
        <v>117</v>
      </c>
      <c r="E27" s="15">
        <f>(COUNTIFS('MSME policies catalogue'!P6:P2000, "*Adversely affected businesses by the COVID-19 crisis*", 'MSME policies catalogue'!T6:T2000, "Yes"))/COUNTIFS('MSME policies catalogue'!P6:P2000,"&lt;&gt;No information found",'MSME policies catalogue'!P6:P2000,"&lt;&gt;No specific target group", 'MSME policies catalogue'!T6:T2000, "Yes")</f>
        <v>0.52173913043478259</v>
      </c>
      <c r="F27" s="15">
        <f>(COUNTIFS('MSME policies catalogue'!P6:P2000, "*Adversely affected businesses by the COVID-19 crisis*",'MSME policies catalogue'!J6:J2000, "Yes"))/(COUNTIFS('MSME policies catalogue'!P6:P2000,"&lt;&gt;No information found",'MSME policies catalogue'!P6:P2000,"&lt;&gt;No specific target group",'MSME policies catalogue'!J6:J2000, "&lt;&gt;Unsure", 'MSME policies catalogue'!J6:J2000, "Yes" ))</f>
        <v>1.6393442622950821E-2</v>
      </c>
      <c r="G27" s="15">
        <f>(COUNTIF('MSME policies catalogue'!$P$6:$P$2000, "*Adversely affected businesses by the COVID-19 crisis*"))/(COUNTIFS('MSME policies catalogue'!$P$6:$P$2000, "&lt;&gt;No information found", 'MSME policies catalogue'!$P$6:$P$2000,"&lt;&gt;No specific target group", 'MSME policies catalogue'!$P$6:$P$2000,"&lt;&gt;"))</f>
        <v>0.11450381679389313</v>
      </c>
    </row>
    <row r="28" spans="4:7" x14ac:dyDescent="0.25">
      <c r="D28" t="s">
        <v>111</v>
      </c>
      <c r="E28" s="15">
        <f>(COUNTIFS('MSME policies catalogue'!P6:P2000, "*People with disabilities*", 'MSME policies catalogue'!T6:T2000, "Yes"))/COUNTIFS('MSME policies catalogue'!P6:P2000,"&lt;&gt;No information found",'MSME policies catalogue'!P6:P2000,"&lt;&gt;No specific target group", 'MSME policies catalogue'!T6:T2000, "Yes")</f>
        <v>0.13043478260869565</v>
      </c>
      <c r="F28" s="15">
        <f>(COUNTIFS('MSME policies catalogue'!P6:P2000, "*People with disabilities*", 'MSME policies catalogue'!J6:J2000, "Yes"))/(COUNTIFS('MSME policies catalogue'!P6:P2000,"&lt;&gt;No information found",'MSME policies catalogue'!P6:P2000,"&lt;&gt;No specific target group",'MSME policies catalogue'!J6:J2000, "&lt;&gt;Unsure", 'MSME policies catalogue'!J6:J2000, "Yes" ))</f>
        <v>3.2786885245901641E-2</v>
      </c>
      <c r="G28" s="15">
        <f>(COUNTIF('MSME policies catalogue'!$P$6:$P$2000, "*People with disabilities*"))/(COUNTIFS('MSME policies catalogue'!$P$6:$P$2000, "&lt;&gt;No information found", 'MSME policies catalogue'!$P$6:$P$2000,"&lt;&gt;No specific target group", 'MSME policies catalogue'!$P$6:$P$2000,"&lt;&gt;"))</f>
        <v>0.12213740458015267</v>
      </c>
    </row>
    <row r="29" spans="4:7" x14ac:dyDescent="0.25">
      <c r="D29" t="s">
        <v>123</v>
      </c>
      <c r="E29" s="15">
        <f>(COUNTIFS('MSME policies catalogue'!P6:P2000, "*Start ups*",'MSME policies catalogue'!T6:T2000, "Yes"))/COUNTIFS('MSME policies catalogue'!P6:P2000,"&lt;&gt;No information found",'MSME policies catalogue'!P6:P2000,"&lt;&gt;No specific target group", 'MSME policies catalogue'!T6:T2000, "Yes")</f>
        <v>8.6956521739130432E-2</v>
      </c>
      <c r="F29" s="15">
        <f>(COUNTIFS('MSME policies catalogue'!P6:P2000,"*Start ups*", 'MSME policies catalogue'!J6:J2000, "Yes"))/(COUNTIFS('MSME policies catalogue'!P6:P2000,"&lt;&gt;No information found",'MSME policies catalogue'!P6:P2000,"&lt;&gt;No specific target group",'MSME policies catalogue'!J6:J2000, "&lt;&gt;Unsure", 'MSME policies catalogue'!J6:J2000, "Yes" ))</f>
        <v>0.16393442622950818</v>
      </c>
      <c r="G29" s="15">
        <f>(COUNTIF('MSME policies catalogue'!$P$6:$P$2000, "*Start ups*"))/(COUNTIFS('MSME policies catalogue'!$P$6:$P$2000, "&lt;&gt;No information found", 'MSME policies catalogue'!$P$6:$P$2000,"&lt;&gt;No specific target group", 'MSME policies catalogue'!$P$6:$P$2000,"&lt;&gt;"))</f>
        <v>0.12977099236641221</v>
      </c>
    </row>
    <row r="30" spans="4:7" x14ac:dyDescent="0.25">
      <c r="D30" t="s">
        <v>93</v>
      </c>
      <c r="E30" s="15">
        <f>(COUNTIFS('MSME policies catalogue'!P6:P2000, "*Rural livelihoods*", 'MSME policies catalogue'!T6:T2000, "Yes"))/COUNTIFS('MSME policies catalogue'!P6:P2000,"&lt;&gt;No information found",'MSME policies catalogue'!P6:P2000,"&lt;&gt;No specific target group", 'MSME policies catalogue'!T6:T2000, "Yes")</f>
        <v>8.6956521739130432E-2</v>
      </c>
      <c r="F30" s="15">
        <f>(COUNTIFS('MSME policies catalogue'!P6:P2000, "*Rural livelihoods*", 'MSME policies catalogue'!J6:J2000, "Yes"))/(COUNTIFS('MSME policies catalogue'!P6:P2000,"&lt;&gt;No information found",'MSME policies catalogue'!P6:P2000,"&lt;&gt;No specific target group",'MSME policies catalogue'!J6:J2000, "&lt;&gt;Unsure", 'MSME policies catalogue'!J6:J2000, "Yes" ))</f>
        <v>0.26229508196721313</v>
      </c>
      <c r="G30" s="15">
        <f>(COUNTIF('MSME policies catalogue'!$P$6:$P$2000, "*Rural livelihoods*"))/(COUNTIFS('MSME policies catalogue'!$P$6:$P$2000, "&lt;&gt;No information found", 'MSME policies catalogue'!$P$6:$P$2000,"&lt;&gt;No specific target group", 'MSME policies catalogue'!$P$6:$P$2000,"&lt;&gt;"))</f>
        <v>0.20610687022900764</v>
      </c>
    </row>
    <row r="31" spans="4:7" x14ac:dyDescent="0.25">
      <c r="D31" t="s">
        <v>87</v>
      </c>
      <c r="E31" s="15">
        <f>(COUNTIFS('MSME policies catalogue'!P6:P2000, "*Micro enterprises*", 'MSME policies catalogue'!T6:T2000, "Yes"))/COUNTIFS('MSME policies catalogue'!P6:P2000,"&lt;&gt;No information found",'MSME policies catalogue'!P6:P2000,"&lt;&gt;No specific target group", 'MSME policies catalogue'!T6:T2000, "Yes")</f>
        <v>0.21739130434782608</v>
      </c>
      <c r="F31" s="15">
        <f>(COUNTIFS('MSME policies catalogue'!P6:P2000,"*Micro enterprises*",'MSME policies catalogue'!J6:J2000, "Yes"))/(COUNTIFS('MSME policies catalogue'!P6:P2000,"&lt;&gt;No information found",'MSME policies catalogue'!P6:P2000,"&lt;&gt;No specific target group",'MSME policies catalogue'!J6:J2000, "&lt;&gt;Unsure", 'MSME policies catalogue'!J6:J2000, "Yes" ))</f>
        <v>0.31147540983606559</v>
      </c>
      <c r="G31" s="15">
        <f>(COUNTIF('MSME policies catalogue'!$P$6:$P$2000, "*Micro enterprises*"))/(COUNTIFS('MSME policies catalogue'!$P$6:$P$2000, "&lt;&gt;No information found", 'MSME policies catalogue'!$P$6:$P$2000,"&lt;&gt;No specific target group", 'MSME policies catalogue'!$P$6:$P$2000,"&lt;&gt;"))</f>
        <v>0.31297709923664124</v>
      </c>
    </row>
    <row r="32" spans="4:7" x14ac:dyDescent="0.25">
      <c r="D32" t="s">
        <v>81</v>
      </c>
      <c r="E32" s="15">
        <f>(COUNTIFS('MSME policies catalogue'!P6:P2000, "*Youth*", 'MSME policies catalogue'!T6:T2000, "Yes"))/COUNTIFS('MSME policies catalogue'!P6:P2000,"&lt;&gt;No information found",'MSME policies catalogue'!P6:P2000,"&lt;&gt;No specific target group", 'MSME policies catalogue'!T6:T2000, "Yes")</f>
        <v>0.2608695652173913</v>
      </c>
      <c r="F32" s="15">
        <f>(COUNTIFS('MSME policies catalogue'!P6:P2000, "*Youth*", 'MSME policies catalogue'!J6:J2000, "Yes"))/(COUNTIFS('MSME policies catalogue'!P6:P2000,"&lt;&gt;No information found",'MSME policies catalogue'!P6:P2000,"&lt;&gt;No specific target group",'MSME policies catalogue'!J6:J2000, "&lt;&gt;Unsure", 'MSME policies catalogue'!J6:J2000, "Yes" ))</f>
        <v>0.50819672131147542</v>
      </c>
      <c r="G32" s="15">
        <f>(COUNTIF('MSME policies catalogue'!$P$6:$P$2000, "*Youth*"))/(COUNTIFS('MSME policies catalogue'!$P$6:$P$2000, "&lt;&gt;No information found", 'MSME policies catalogue'!$P$6:$P$2000,"&lt;&gt;No specific target group", 'MSME policies catalogue'!$P$6:$P$2000,"&lt;&gt;"))</f>
        <v>0.47328244274809161</v>
      </c>
    </row>
    <row r="33" spans="4:7" x14ac:dyDescent="0.25">
      <c r="D33" t="s">
        <v>75</v>
      </c>
      <c r="E33" s="15">
        <f>(COUNTIFS('MSME policies catalogue'!P6:P2000, "*Women*", 'MSME policies catalogue'!T6:T2000, "Yes"))/COUNTIFS('MSME policies catalogue'!P6:P2000,"&lt;&gt;No information found",'MSME policies catalogue'!P6:P2000,"&lt;&gt;No specific target group", 'MSME policies catalogue'!T6:T2000, "Yes")</f>
        <v>0.34782608695652173</v>
      </c>
      <c r="F33" s="15">
        <f>(COUNTIFS('MSME policies catalogue'!P6:P2000, "*Women*", 'MSME policies catalogue'!J6:J2000, "Yes"))/(COUNTIFS('MSME policies catalogue'!P6:P2000,"&lt;&gt;No information found",'MSME policies catalogue'!P6:P2000,"&lt;&gt;No specific target group",'MSME policies catalogue'!J6:J2000, "&lt;&gt;Unsure", 'MSME policies catalogue'!J6:J2000, "Yes" ))</f>
        <v>0.5901639344262295</v>
      </c>
      <c r="G33" s="15">
        <f>(COUNTIF('MSME policies catalogue'!$P$6:$P$2000, "*Women*"))/(COUNTIFS('MSME policies catalogue'!$P$6:$P$2000, "&lt;&gt;No information found", 'MSME policies catalogue'!$P$6:$P$2000,"&lt;&gt;No specific target group", 'MSME policies catalogue'!$P$6:$P$2000,"&lt;&gt;"))</f>
        <v>0.48091603053435117</v>
      </c>
    </row>
    <row r="34" spans="4:7" x14ac:dyDescent="0.25">
      <c r="E34" s="15"/>
      <c r="F34" s="15"/>
    </row>
    <row r="38" spans="4:7" x14ac:dyDescent="0.25">
      <c r="E38" t="s">
        <v>178</v>
      </c>
    </row>
    <row r="39" spans="4:7" x14ac:dyDescent="0.25">
      <c r="D39" t="s">
        <v>173</v>
      </c>
      <c r="E39" s="13" t="str">
        <f>Codes!D2</f>
        <v>High-income</v>
      </c>
      <c r="F39" t="s">
        <v>174</v>
      </c>
    </row>
    <row r="40" spans="4:7" x14ac:dyDescent="0.25">
      <c r="D40" t="s">
        <v>127</v>
      </c>
      <c r="E40" s="15">
        <f>(COUNTIFS('MSME policies catalogue'!P6:P248, "*Informal businesses*",'MSME policies catalogue'!D6:D248, Codes!D2 ))/COUNTIFS('MSME policies catalogue'!D6:D248, Codes!D2, 'MSME policies catalogue'!P6:P248,"&lt;&gt;No information found",'MSME policies catalogue'!P6:P248,"&lt;&gt;No specific target group")</f>
        <v>0</v>
      </c>
      <c r="F40" s="15">
        <f>(COUNTIF('MSME policies catalogue'!P6:P248, "*Informal businesses*"))/(COUNTIFS('MSME policies catalogue'!P6:P248, "&lt;&gt;No information found", 'MSME policies catalogue'!P6:P248,"&lt;&gt;No specific target group"))</f>
        <v>0</v>
      </c>
    </row>
    <row r="41" spans="4:7" x14ac:dyDescent="0.25">
      <c r="D41" t="s">
        <v>131</v>
      </c>
      <c r="E41" s="15">
        <f>(COUNTIFS('MSME policies catalogue'!P6:P248, "*Other*",'MSME policies catalogue'!D6:D248, Codes!D2 ))/COUNTIFS('MSME policies catalogue'!D6:D248, Codes!D2, 'MSME policies catalogue'!P6:P248,"&lt;&gt;No information found",'MSME policies catalogue'!P6:P248,"&lt;&gt;No specific target group")</f>
        <v>0</v>
      </c>
      <c r="F41" s="15">
        <f>(COUNTIF('MSME policies catalogue'!P6:P248, "*Other*"))/(COUNTIFS('MSME policies catalogue'!P6:P248, "&lt;&gt;No information found", 'MSME policies catalogue'!P6:P248,"&lt;&gt;No specific target group"))</f>
        <v>7.6335877862595417E-3</v>
      </c>
    </row>
    <row r="42" spans="4:7" x14ac:dyDescent="0.25">
      <c r="D42" t="s">
        <v>99</v>
      </c>
      <c r="E42" s="15">
        <f>(COUNTIFS('MSME policies catalogue'!P6:P248, "*Urban livelihoods*",'MSME policies catalogue'!D6:D248, Codes!D2 ))/COUNTIFS('MSME policies catalogue'!D6:D248, Codes!D2, 'MSME policies catalogue'!P6:P248,"&lt;&gt;No information found",'MSME policies catalogue'!P6:P248,"&lt;&gt;No specific target group")</f>
        <v>0</v>
      </c>
      <c r="F42" s="15">
        <f>(COUNTIF('MSME policies catalogue'!P6:P248, "*Urban livelihoods*"))/(COUNTIFS('MSME policies catalogue'!P6:P248, "&lt;&gt;No information found", 'MSME policies catalogue'!P6:P248,"&lt;&gt;No specific target group"))</f>
        <v>1.5267175572519083E-2</v>
      </c>
    </row>
    <row r="43" spans="4:7" x14ac:dyDescent="0.25">
      <c r="D43" t="s">
        <v>105</v>
      </c>
      <c r="E43" s="15">
        <f>(COUNTIFS('MSME policies catalogue'!P6:P248, "*Migrants*",'MSME policies catalogue'!D6:D248, Codes!D2 ))/COUNTIFS('MSME policies catalogue'!D6:D248, Codes!D2, 'MSME policies catalogue'!P6:P248,"&lt;&gt;No information found",'MSME policies catalogue'!P6:P248,"&lt;&gt;No specific target group")</f>
        <v>0</v>
      </c>
      <c r="F43" s="15">
        <f>(COUNTIF('MSME policies catalogue'!P6:P248, "*Migrants*"))/(COUNTIFS('MSME policies catalogue'!P6:P248, "&lt;&gt;No information found", 'MSME policies catalogue'!P6:P248,"&lt;&gt;No specific target group"))</f>
        <v>1.5267175572519083E-2</v>
      </c>
    </row>
    <row r="44" spans="4:7" x14ac:dyDescent="0.25">
      <c r="D44" t="s">
        <v>117</v>
      </c>
      <c r="E44" s="15">
        <f>(COUNTIFS('MSME policies catalogue'!P6:P248, "*Adversely affected businesses by the COVID-19 crisis*",'MSME policies catalogue'!D6:D248, Codes!D2 ))/COUNTIFS('MSME policies catalogue'!D6:D248, Codes!D2, 'MSME policies catalogue'!P6:P248,"&lt;&gt;No information found",'MSME policies catalogue'!P6:P248,"&lt;&gt;No specific target group")</f>
        <v>0.5</v>
      </c>
      <c r="F44" s="15">
        <f>(COUNTIF('MSME policies catalogue'!P6:P248, "*Adversely affected businesses by the COVID-19 crisis*"))/(COUNTIFS('MSME policies catalogue'!P6:P248, "&lt;&gt;No information found", 'MSME policies catalogue'!P6:P248,"&lt;&gt;No specific target group"))</f>
        <v>0.11450381679389313</v>
      </c>
    </row>
    <row r="45" spans="4:7" x14ac:dyDescent="0.25">
      <c r="D45" t="s">
        <v>111</v>
      </c>
      <c r="E45" s="15">
        <f>(COUNTIFS('MSME policies catalogue'!P6:P248, "*People with disabilities*",'MSME policies catalogue'!D6:D248, Codes!D2 ))/COUNTIFS('MSME policies catalogue'!D6:D248, Codes!D2, 'MSME policies catalogue'!P6:P248,"&lt;&gt;No information found",'MSME policies catalogue'!P6:P248,"&lt;&gt;No specific target group")</f>
        <v>0</v>
      </c>
      <c r="F45" s="15">
        <f>(COUNTIF('MSME policies catalogue'!P6:P248, "*People with disabilities*"))/(COUNTIFS('MSME policies catalogue'!P6:P248, "&lt;&gt;No information found", 'MSME policies catalogue'!P6:P248,"&lt;&gt;No specific target group"))</f>
        <v>0.12213740458015267</v>
      </c>
    </row>
    <row r="46" spans="4:7" x14ac:dyDescent="0.25">
      <c r="D46" t="s">
        <v>123</v>
      </c>
      <c r="E46" s="15">
        <f>(COUNTIFS('MSME policies catalogue'!P6:P248, "*Start ups*",'MSME policies catalogue'!D6:D248, Codes!D2 ))/COUNTIFS('MSME policies catalogue'!D6:D248, Codes!D2, 'MSME policies catalogue'!P6:P248,"&lt;&gt;No information found",'MSME policies catalogue'!P6:P248,"&lt;&gt;No specific target group")</f>
        <v>0.25</v>
      </c>
      <c r="F46" s="15">
        <f>(COUNTIF('MSME policies catalogue'!P6:P248, "*Start ups*"))/(COUNTIFS('MSME policies catalogue'!P6:P248, "&lt;&gt;No information found", 'MSME policies catalogue'!P6:P248,"&lt;&gt;No specific target group"))</f>
        <v>0.12977099236641221</v>
      </c>
    </row>
    <row r="47" spans="4:7" x14ac:dyDescent="0.25">
      <c r="D47" t="s">
        <v>93</v>
      </c>
      <c r="E47" s="15">
        <f>(COUNTIFS('MSME policies catalogue'!P6:P248, "*Rural livelihoods*",'MSME policies catalogue'!D6:D248, Codes!D2 ))/COUNTIFS('MSME policies catalogue'!D6:D248, Codes!D2, 'MSME policies catalogue'!P6:P248,"&lt;&gt;No information found",'MSME policies catalogue'!P6:P248,"&lt;&gt;No specific target group")</f>
        <v>0.125</v>
      </c>
      <c r="F47" s="15">
        <f>(COUNTIF('MSME policies catalogue'!P6:P248, "*Rural livelihoods*"))/(COUNTIFS('MSME policies catalogue'!P6:P248, "&lt;&gt;No information found", 'MSME policies catalogue'!P6:P248,"&lt;&gt;No specific target group"))</f>
        <v>0.20610687022900764</v>
      </c>
    </row>
    <row r="48" spans="4:7" x14ac:dyDescent="0.25">
      <c r="D48" t="s">
        <v>87</v>
      </c>
      <c r="E48" s="15">
        <f>(COUNTIFS('MSME policies catalogue'!P6:P248, "*Micro enterprises*",'MSME policies catalogue'!D6:D248, Codes!D2 ))/COUNTIFS('MSME policies catalogue'!D6:D248, Codes!D2, 'MSME policies catalogue'!P6:P248,"&lt;&gt;No information found",'MSME policies catalogue'!P6:P248,"&lt;&gt;No specific target group")</f>
        <v>0.375</v>
      </c>
      <c r="F48" s="15">
        <f>(COUNTIF('MSME policies catalogue'!P6:P248, "*Micro enterprises*"))/(COUNTIFS('MSME policies catalogue'!P6:P248, "&lt;&gt;No information found", 'MSME policies catalogue'!P6:P248,"&lt;&gt;No specific target group"))</f>
        <v>0.31297709923664124</v>
      </c>
    </row>
    <row r="49" spans="4:19" x14ac:dyDescent="0.25">
      <c r="D49" t="s">
        <v>81</v>
      </c>
      <c r="E49" s="15">
        <f>(COUNTIFS('MSME policies catalogue'!P6:P248, "*Youth*",'MSME policies catalogue'!D6:D248, Codes!D2 ))/COUNTIFS('MSME policies catalogue'!D6:D248, Codes!D2, 'MSME policies catalogue'!P6:P248,"&lt;&gt;No information found",'MSME policies catalogue'!P6:P248,"&lt;&gt;No specific target group")</f>
        <v>0.25</v>
      </c>
      <c r="F49" s="15">
        <f>(COUNTIF('MSME policies catalogue'!P6:P248, "*Youth*"))/(COUNTIFS('MSME policies catalogue'!P6:P248, "&lt;&gt;No information found", 'MSME policies catalogue'!P6:P248,"&lt;&gt;No specific target group"))</f>
        <v>0.47328244274809161</v>
      </c>
    </row>
    <row r="50" spans="4:19" x14ac:dyDescent="0.25">
      <c r="D50" t="s">
        <v>75</v>
      </c>
      <c r="E50" s="15">
        <f>(COUNTIFS('MSME policies catalogue'!P6:P248, "*Women*",'MSME policies catalogue'!D6:D248, Codes!D2 ))/COUNTIFS('MSME policies catalogue'!D6:D248, Codes!D2, 'MSME policies catalogue'!P6:P248,"&lt;&gt;No information found",'MSME policies catalogue'!P6:P248,"&lt;&gt;No specific target group")</f>
        <v>0.375</v>
      </c>
      <c r="F50" s="15">
        <f>(COUNTIF('MSME policies catalogue'!P6:P248, "*Women*"))/(COUNTIFS('MSME policies catalogue'!P6:P248, "&lt;&gt;No information found", 'MSME policies catalogue'!P6:P248,"&lt;&gt;No specific target group"))</f>
        <v>0.48091603053435117</v>
      </c>
    </row>
    <row r="61" spans="4:19" x14ac:dyDescent="0.25">
      <c r="E61" t="s">
        <v>179</v>
      </c>
    </row>
    <row r="62" spans="4:19" x14ac:dyDescent="0.25">
      <c r="D62" s="27" t="s">
        <v>180</v>
      </c>
      <c r="E62" s="21" t="str">
        <f>Dashboard!G153</f>
        <v>Northern Africa</v>
      </c>
      <c r="F62" t="s">
        <v>174</v>
      </c>
    </row>
    <row r="63" spans="4:19" x14ac:dyDescent="0.25">
      <c r="D63" s="21" t="s">
        <v>118</v>
      </c>
      <c r="E63" s="22">
        <f>(COUNTIFS('MSME policies catalogue'!Q6:Q2000, "*Transport*",'MSME policies catalogue'!C6:C2000, Dashboard!G153))/COUNTIFS('MSME policies catalogue'!C6:C2000, Dashboard!G153, 'MSME policies catalogue'!Q6:Q2000,"&lt;&gt;No information found",'MSME policies catalogue'!Q6:Q2000,"&lt;&gt;No specific target sector")</f>
        <v>0</v>
      </c>
      <c r="F63" s="22">
        <f>(COUNTIF('MSME policies catalogue'!$Q$6:$Q$2000,"*Transport*"))/(COUNTIFS('MSME policies catalogue'!$Q$6:$Q$2000,"&lt;&gt;No specific target sector",'MSME policies catalogue'!$Q$6:$Q$2000,"&lt;&gt;No information found",'MSME policies catalogue'!$Q$6:$Q$2000,"&lt;&gt;"))</f>
        <v>3.8461538461538464E-2</v>
      </c>
      <c r="G63" s="28"/>
      <c r="H63" s="28"/>
      <c r="I63" s="28"/>
      <c r="J63" s="28"/>
      <c r="K63" s="28"/>
      <c r="L63" s="28"/>
      <c r="M63" s="28"/>
      <c r="N63" s="28"/>
      <c r="O63" s="28"/>
      <c r="P63" s="28"/>
      <c r="Q63" s="28"/>
      <c r="R63" s="28"/>
      <c r="S63" s="28"/>
    </row>
    <row r="64" spans="4:19" x14ac:dyDescent="0.25">
      <c r="D64" s="21" t="s">
        <v>124</v>
      </c>
      <c r="E64" s="22">
        <f>(COUNTIFS('MSME policies catalogue'!Q6:Q2000, "*Energy*",'MSME policies catalogue'!C6:C2000, Dashboard!G153 ))/COUNTIFS('MSME policies catalogue'!C6:C2000, Dashboard!G153, 'MSME policies catalogue'!Q6:Q2000,"&lt;&gt;No information found",'MSME policies catalogue'!Q6:Q2000,"&lt;&gt;No specific target sector")</f>
        <v>0</v>
      </c>
      <c r="F64" s="22">
        <f>(COUNTIF('MSME policies catalogue'!$Q$6:$Q$2000, "*Energy*"))/(COUNTIFS('MSME policies catalogue'!$Q$6:$Q$2000,"&lt;&gt;No specific target sector", 'MSME policies catalogue'!$Q$6:$Q$2000, "&lt;&gt;No information found",'MSME policies catalogue'!$Q$6:$Q$2000,"&lt;&gt;"))</f>
        <v>4.807692307692308E-2</v>
      </c>
      <c r="G64" s="21"/>
      <c r="H64" s="19"/>
      <c r="I64" s="19" t="s">
        <v>181</v>
      </c>
      <c r="J64" s="19"/>
      <c r="K64" s="21"/>
      <c r="L64" s="19"/>
      <c r="M64" s="19"/>
      <c r="N64" s="19"/>
      <c r="O64" s="21"/>
      <c r="P64" s="19"/>
      <c r="Q64" s="19"/>
      <c r="R64" s="19"/>
      <c r="S64" s="21"/>
    </row>
    <row r="65" spans="3:19" x14ac:dyDescent="0.25">
      <c r="D65" s="21" t="s">
        <v>106</v>
      </c>
      <c r="E65" s="22">
        <f>(COUNTIFS('MSME policies catalogue'!Q6:Q2000, "*Digital economy*",'MSME policies catalogue'!C6:C2000, Dashboard!G153))/COUNTIFS('MSME policies catalogue'!C6:C2000, Dashboard!G153, 'MSME policies catalogue'!Q6:Q2000,"&lt;&gt;No information found",'MSME policies catalogue'!Q6:Q2000,"&lt;&gt;No specific target sector")</f>
        <v>0.1</v>
      </c>
      <c r="F65" s="22">
        <f>(COUNTIF('MSME policies catalogue'!$Q$6:$Q$248, "*Digital economy*"))/(COUNTIFS('MSME policies catalogue'!$Q$6:$Q$248,"&lt;&gt;No specific target sector", 'MSME policies catalogue'!$Q$6:$Q$248, "&lt;&gt;No information found"))</f>
        <v>6.7307692307692304E-2</v>
      </c>
      <c r="G65" s="21"/>
      <c r="H65" s="19" t="s">
        <v>182</v>
      </c>
      <c r="I65" s="19" t="str">
        <f>Dashboard!O153</f>
        <v>Upper-middle-income</v>
      </c>
      <c r="J65" s="19" t="s">
        <v>183</v>
      </c>
      <c r="K65" s="21"/>
      <c r="L65" s="19" t="s">
        <v>182</v>
      </c>
      <c r="M65" s="21" t="s">
        <v>184</v>
      </c>
      <c r="N65" s="21" t="s">
        <v>177</v>
      </c>
      <c r="O65" s="21"/>
      <c r="P65" s="19" t="s">
        <v>182</v>
      </c>
      <c r="Q65" s="21" t="s">
        <v>185</v>
      </c>
      <c r="R65" s="21" t="s">
        <v>177</v>
      </c>
      <c r="S65" s="21"/>
    </row>
    <row r="66" spans="3:19" x14ac:dyDescent="0.25">
      <c r="D66" s="21" t="s">
        <v>94</v>
      </c>
      <c r="E66" s="22">
        <f>(COUNTIFS('MSME policies catalogue'!Q6:Q2000, "*Informal sector*",'MSME policies catalogue'!C6:C2000, Dashboard!G153  ))/COUNTIFS('MSME policies catalogue'!C6:C2000, Dashboard!G153, 'MSME policies catalogue'!Q6:Q2000,"&lt;&gt;No information found",'MSME policies catalogue'!Q6:Q2000,"&lt;&gt;No specific target sector")</f>
        <v>0.1</v>
      </c>
      <c r="F66" s="22">
        <f>(COUNTIF('MSME policies catalogue'!$Q$6:$Q$2000, "*Informal sector*"))/(COUNTIFS('MSME policies catalogue'!$Q$6:$Q$2000,"&lt;&gt;No specific target sector", 'MSME policies catalogue'!$Q$6:$Q$2000, "&lt;&gt;No information found",'MSME policies catalogue'!$Q$6:$Q$2000,"&lt;&gt;"))</f>
        <v>7.6923076923076927E-2</v>
      </c>
      <c r="G66" s="21"/>
      <c r="H66" s="19" t="s">
        <v>118</v>
      </c>
      <c r="I66" s="22">
        <f>(COUNTIFS('MSME policies catalogue'!Q6:Q2000,"*Transport*",'MSME policies catalogue'!D6:D2000,Dashboard!O153))/COUNTIFS('MSME policies catalogue'!D6:D2000,Dashboard!O153,'MSME policies catalogue'!Q6:Q2000,"&lt;&gt;No information found",'MSME policies catalogue'!Q6:Q2000,"&lt;&gt;No specific target sector")</f>
        <v>0.11764705882352941</v>
      </c>
      <c r="J66" s="22">
        <f>(COUNTIF('MSME policies catalogue'!$Q$6:$Q$2000,"*Transport*"))/(COUNTIFS('MSME policies catalogue'!$Q$6:$Q$2000,"&lt;&gt;No specific target sector",'MSME policies catalogue'!$Q$6:$Q$2000,"&lt;&gt;No information found",'MSME policies catalogue'!$Q$6:$Q$2000,"&lt;&gt;"))</f>
        <v>3.8461538461538464E-2</v>
      </c>
      <c r="K66" s="21"/>
      <c r="L66" s="19" t="s">
        <v>118</v>
      </c>
      <c r="M66" s="20">
        <f>(COUNTIFS('MSME policies catalogue'!Q6:Q2000, "*Transport*", 'MSME policies catalogue'!T6:T2000, "Yes"))/COUNTIFS('MSME policies catalogue'!Q6:Q2000,"&lt;&gt;No information found",'MSME policies catalogue'!Q6:Q2000,"&lt;&gt;No specific target sector", 'MSME policies catalogue'!T6:T2000, "Yes")</f>
        <v>0.1</v>
      </c>
      <c r="N66" s="22">
        <f>(COUNTIF('MSME policies catalogue'!$Q$6:$Q$2000,"*Transport*"))/(COUNTIFS('MSME policies catalogue'!$Q$6:$Q$2000,"&lt;&gt;No specific target sector",'MSME policies catalogue'!$Q$6:$Q$2000,"&lt;&gt;No information found",'MSME policies catalogue'!$Q$6:$Q$2000,"&lt;&gt;"))</f>
        <v>3.8461538461538464E-2</v>
      </c>
      <c r="O66" s="21"/>
      <c r="P66" s="19" t="s">
        <v>118</v>
      </c>
      <c r="Q66" s="20">
        <f>(COUNTIFS('MSME policies catalogue'!Q6:Q248, "*Transport*", 'MSME policies catalogue'!J6:J248, "Yes"))/(COUNTIFS('MSME policies catalogue'!Q6:Q248,"&lt;&gt;No information found",'MSME policies catalogue'!Q6:Q248,"&lt;&gt;No specific target sector",'MSME policies catalogue'!J6:J248, "&lt;&gt;Unsure", 'MSME policies catalogue'!J6:J248, "Yes"))</f>
        <v>2.3255813953488372E-2</v>
      </c>
      <c r="R66" s="22">
        <f>(COUNTIF('MSME policies catalogue'!$Q$6:$Q$2000,"*Transport*"))/(COUNTIFS('MSME policies catalogue'!$Q$6:$Q$2000,"&lt;&gt;No specific target sector",'MSME policies catalogue'!$Q$6:$Q$2000,"&lt;&gt;No information found",'MSME policies catalogue'!$Q$6:$Q$2000,"&lt;&gt;"))</f>
        <v>3.8461538461538464E-2</v>
      </c>
      <c r="S66" s="21"/>
    </row>
    <row r="67" spans="3:19" x14ac:dyDescent="0.25">
      <c r="D67" s="21" t="s">
        <v>135</v>
      </c>
      <c r="E67" s="22">
        <f>(COUNTIFS('MSME policies catalogue'!Q6:Q2000, "*Mining*",'MSME policies catalogue'!C6:C2000, Dashboard!G153  ))/COUNTIFS('MSME policies catalogue'!C6:C2000, Dashboard!G153, 'MSME policies catalogue'!Q6:Q2000,"&lt;&gt;No information found",'MSME policies catalogue'!Q6:Q2000,"&lt;&gt;No specific target sector")</f>
        <v>0</v>
      </c>
      <c r="F67" s="22">
        <f>(COUNTIF('MSME policies catalogue'!$Q$6:$Q$2000, "*Mining*"))/(COUNTIFS('MSME policies catalogue'!$Q$6:$Q$2000,"&lt;&gt;No specific target sector", 'MSME policies catalogue'!$Q$6:$Q$2000, "&lt;&gt;No information found",'MSME policies catalogue'!$Q$6:$Q$2000,"&lt;&gt;"))</f>
        <v>0.10576923076923077</v>
      </c>
      <c r="G67" s="21"/>
      <c r="H67" s="19" t="s">
        <v>124</v>
      </c>
      <c r="I67" s="22">
        <f>(COUNTIFS('MSME policies catalogue'!Q6:Q2000, "*Energy*",'MSME policies catalogue'!D6:D2000, Dashboard!O153))/COUNTIFS('MSME policies catalogue'!D6:D2000, Dashboard!O153, 'MSME policies catalogue'!Q6:Q2000,"&lt;&gt;No information found",'MSME policies catalogue'!Q6:Q2000,"&lt;&gt;No specific target sector")</f>
        <v>0</v>
      </c>
      <c r="J67" s="22">
        <f>(COUNTIF('MSME policies catalogue'!$Q$6:$Q$2000, "*Energy*"))/(COUNTIFS('MSME policies catalogue'!$Q$6:$Q$2000,"&lt;&gt;No specific target sector", 'MSME policies catalogue'!$Q$6:$Q$2000, "&lt;&gt;No information found",'MSME policies catalogue'!$Q$6:$Q$2000,"&lt;&gt;"))</f>
        <v>4.807692307692308E-2</v>
      </c>
      <c r="K67" s="21"/>
      <c r="L67" s="19" t="s">
        <v>124</v>
      </c>
      <c r="M67" s="20">
        <f>(COUNTIFS('MSME policies catalogue'!Q6:Q2000, "*Energy*", 'MSME policies catalogue'!T6:T2000, "Yes"))/COUNTIFS('MSME policies catalogue'!Q6:Q2000,"&lt;&gt;No information found",'MSME policies catalogue'!Q6:Q2000,"&lt;&gt;No specific target sector", 'MSME policies catalogue'!T6:T2000, "Yes")</f>
        <v>0.05</v>
      </c>
      <c r="N67" s="22">
        <f>(COUNTIF('MSME policies catalogue'!$Q$6:$Q$2000, "*Energy*"))/(COUNTIFS('MSME policies catalogue'!$Q$6:$Q$2000,"&lt;&gt;No specific target sector", 'MSME policies catalogue'!$Q$6:$Q$2000, "&lt;&gt;No information found",'MSME policies catalogue'!$Q$6:$Q$2000,"&lt;&gt;"))</f>
        <v>4.807692307692308E-2</v>
      </c>
      <c r="O67" s="21"/>
      <c r="P67" s="19" t="s">
        <v>124</v>
      </c>
      <c r="Q67" s="20">
        <f>(COUNTIFS('MSME policies catalogue'!Q6:Q2000, "*Energy*", 'MSME policies catalogue'!J6:J2000, "Yes"))/(COUNTIFS('MSME policies catalogue'!Q6:Q2000,"&lt;&gt;No information found",'MSME policies catalogue'!Q6:Q2000,"&lt;&gt;No specific target sector",'MSME policies catalogue'!J6:J2000, "&lt;&gt;Unsure", 'MSME policies catalogue'!J6:J2000, "Yes"))</f>
        <v>6.9767441860465115E-2</v>
      </c>
      <c r="R67" s="22">
        <f>(COUNTIF('MSME policies catalogue'!$Q$6:$Q$2000, "*Energy*"))/(COUNTIFS('MSME policies catalogue'!$Q$6:$Q$2000,"&lt;&gt;No specific target sector", 'MSME policies catalogue'!$Q$6:$Q$2000, "&lt;&gt;No information found",'MSME policies catalogue'!$Q$6:$Q$2000,"&lt;&gt;"))</f>
        <v>4.807692307692308E-2</v>
      </c>
      <c r="S67" s="21"/>
    </row>
    <row r="68" spans="3:19" x14ac:dyDescent="0.25">
      <c r="D68" s="21" t="s">
        <v>132</v>
      </c>
      <c r="E68" s="22">
        <f>(COUNTIFS('MSME policies catalogue'!Q6:Q248, "*Construction*",'MSME policies catalogue'!C6:C248,Dashboard!G153 ))/COUNTIFS('MSME policies catalogue'!C6:C248, Dashboard!G153, 'MSME policies catalogue'!Q6:Q248,"&lt;&gt;No information found",'MSME policies catalogue'!Q6:Q248,"&lt;&gt;No specific target sector")</f>
        <v>0</v>
      </c>
      <c r="F68" s="22">
        <f>(COUNTIF('MSME policies catalogue'!$Q$6:$Q$2000, "*Construction*"))/(COUNTIFS('MSME policies catalogue'!$Q$6:$Q$2000,"&lt;&gt;No specific target sector", 'MSME policies catalogue'!$Q$6:$Q$2000, "&lt;&gt;No information found",'MSME policies catalogue'!$Q$6:$Q$2000,"&lt;&gt;"))</f>
        <v>0.11538461538461539</v>
      </c>
      <c r="G68" s="21"/>
      <c r="H68" s="19" t="s">
        <v>106</v>
      </c>
      <c r="I68" s="22">
        <f>(COUNTIFS('MSME policies catalogue'!Q6:Q2000, "*Digital economy*",'MSME policies catalogue'!D6:D2000, Dashboard!O153 ))/COUNTIFS('MSME policies catalogue'!D6:D2000, Dashboard!O153, 'MSME policies catalogue'!Q6:Q2000,"&lt;&gt;No information found",'MSME policies catalogue'!Q6:Q2000,"&lt;&gt;No specific target sector")</f>
        <v>0</v>
      </c>
      <c r="J68" s="22">
        <f>(COUNTIF('MSME policies catalogue'!$Q$6:$Q$248, "*Digital economy*"))/(COUNTIFS('MSME policies catalogue'!$Q$6:$Q$248,"&lt;&gt;No specific target sector", 'MSME policies catalogue'!$Q$6:$Q$248, "&lt;&gt;No information found"))</f>
        <v>6.7307692307692304E-2</v>
      </c>
      <c r="K68" s="21"/>
      <c r="L68" s="19" t="s">
        <v>106</v>
      </c>
      <c r="M68" s="20">
        <f>(COUNTIFS('MSME policies catalogue'!Q6:Q2000, "*Digital economy*", 'MSME policies catalogue'!T6:T2000, "Yes"))/COUNTIFS('MSME policies catalogue'!Q6:Q2000,"&lt;&gt;No information found",'MSME policies catalogue'!Q6:Q2000,"&lt;&gt;No specific target sector", 'MSME policies catalogue'!T6:T2000, "Yes")</f>
        <v>0.1</v>
      </c>
      <c r="N68" s="22">
        <f>(COUNTIF('MSME policies catalogue'!$Q$6:$Q$248, "*Digital economy*"))/(COUNTIFS('MSME policies catalogue'!$Q$6:$Q$248,"&lt;&gt;No specific target sector", 'MSME policies catalogue'!$Q$6:$Q$248, "&lt;&gt;No information found"))</f>
        <v>6.7307692307692304E-2</v>
      </c>
      <c r="O68" s="21"/>
      <c r="P68" s="19" t="s">
        <v>106</v>
      </c>
      <c r="Q68" s="20">
        <f>(COUNTIFS('MSME policies catalogue'!Q6:Q2000, "*Digital economy*", 'MSME policies catalogue'!J6:J2000, "Yes"))/(COUNTIFS('MSME policies catalogue'!Q6:Q2000,"&lt;&gt;No information found",'MSME policies catalogue'!Q6:Q2000,"&lt;&gt;No specific target sector",'MSME policies catalogue'!J6:J2000, "&lt;&gt;Unsure", 'MSME policies catalogue'!J6:J2000, "Yes"))</f>
        <v>6.9767441860465115E-2</v>
      </c>
      <c r="R68" s="22">
        <f>(COUNTIF('MSME policies catalogue'!$Q$6:$Q$248, "*Digital economy*"))/(COUNTIFS('MSME policies catalogue'!$Q$6:$Q$248,"&lt;&gt;No specific target sector", 'MSME policies catalogue'!$Q$6:$Q$248, "&lt;&gt;No information found"))</f>
        <v>6.7307692307692304E-2</v>
      </c>
      <c r="S68" s="21"/>
    </row>
    <row r="69" spans="3:19" x14ac:dyDescent="0.25">
      <c r="D69" s="21" t="s">
        <v>128</v>
      </c>
      <c r="E69" s="22">
        <f>(COUNTIFS('MSME policies catalogue'!Q6:Q2000, "*Health care*",'MSME policies catalogue'!C6:C2000, Dashboard!G153  ))/COUNTIFS('MSME policies catalogue'!C6:C2000, Dashboard!G153, 'MSME policies catalogue'!Q6:Q2000,"&lt;&gt;No information found",'MSME policies catalogue'!Q6:Q2000,"&lt;&gt;No specific target sector")</f>
        <v>0.2</v>
      </c>
      <c r="F69" s="22">
        <f>(COUNTIF('MSME policies catalogue'!$Q$6:$Q$2000, "*Health care*"))/(COUNTIFS('MSME policies catalogue'!$Q$6:$Q$2000,"&lt;&gt;No specific target sector", 'MSME policies catalogue'!$Q$6:$Q$2000, "&lt;&gt;No information found",'MSME policies catalogue'!$Q$6:$Q$2000,"&lt;&gt;"))</f>
        <v>0.13461538461538461</v>
      </c>
      <c r="G69" s="21"/>
      <c r="H69" s="19" t="s">
        <v>94</v>
      </c>
      <c r="I69" s="22">
        <f>(COUNTIFS('MSME policies catalogue'!Q6:Q2000, "*Informal sector*",'MSME policies catalogue'!D6:D2000, Dashboard!O153))/COUNTIFS('MSME policies catalogue'!D6:D2000, Dashboard!O153, 'MSME policies catalogue'!Q6:Q2000,"&lt;&gt;No information found",'MSME policies catalogue'!Q6:Q2000,"&lt;&gt;No specific target sector")</f>
        <v>0.23529411764705882</v>
      </c>
      <c r="J69" s="22">
        <f>(COUNTIF('MSME policies catalogue'!$Q$6:$Q$2000, "*Informal sector*"))/(COUNTIFS('MSME policies catalogue'!$Q$6:$Q$2000,"&lt;&gt;No specific target sector", 'MSME policies catalogue'!$Q$6:$Q$2000, "&lt;&gt;No information found",'MSME policies catalogue'!$Q$6:$Q$2000,"&lt;&gt;"))</f>
        <v>7.6923076923076927E-2</v>
      </c>
      <c r="K69" s="21"/>
      <c r="L69" s="19" t="s">
        <v>94</v>
      </c>
      <c r="M69" s="20">
        <f>(COUNTIFS('MSME policies catalogue'!Q6:Q2000, "*Informal sector*", 'MSME policies catalogue'!T6:T2000, "Yes"))/COUNTIFS('MSME policies catalogue'!Q6:Q2000,"&lt;&gt;No information found",'MSME policies catalogue'!Q6:Q2000,"&lt;&gt;No specific target sector", 'MSME policies catalogue'!T6:T2000, "Yes")</f>
        <v>0.15</v>
      </c>
      <c r="N69" s="22">
        <f>(COUNTIF('MSME policies catalogue'!$Q$6:$Q$2000, "*Informal sector*"))/(COUNTIFS('MSME policies catalogue'!$Q$6:$Q$2000,"&lt;&gt;No specific target sector", 'MSME policies catalogue'!$Q$6:$Q$2000, "&lt;&gt;No information found",'MSME policies catalogue'!$Q$6:$Q$2000,"&lt;&gt;"))</f>
        <v>7.6923076923076927E-2</v>
      </c>
      <c r="O69" s="21"/>
      <c r="P69" s="19" t="s">
        <v>94</v>
      </c>
      <c r="Q69" s="20">
        <f>(COUNTIFS('MSME policies catalogue'!Q6:Q2000, "*Informal sector*",'MSME policies catalogue'!J6:J2000, "Yes"))/(COUNTIFS('MSME policies catalogue'!Q6:Q2000,"&lt;&gt;No information found",'MSME policies catalogue'!Q6:Q2000,"&lt;&gt;No specific target sector",'MSME policies catalogue'!J6:J2000, "&lt;&gt;Unsure", 'MSME policies catalogue'!J6:J2000, "Yes"))</f>
        <v>6.9767441860465115E-2</v>
      </c>
      <c r="R69" s="22">
        <f>(COUNTIF('MSME policies catalogue'!$Q$6:$Q$2000, "*Informal sector*"))/(COUNTIFS('MSME policies catalogue'!$Q$6:$Q$2000,"&lt;&gt;No specific target sector", 'MSME policies catalogue'!$Q$6:$Q$2000, "&lt;&gt;No information found",'MSME policies catalogue'!$Q$6:$Q$2000,"&lt;&gt;"))</f>
        <v>7.6923076923076927E-2</v>
      </c>
      <c r="S69" s="21"/>
    </row>
    <row r="70" spans="3:19" x14ac:dyDescent="0.25">
      <c r="D70" s="21" t="s">
        <v>100</v>
      </c>
      <c r="E70" s="22">
        <f>(COUNTIFS('MSME policies catalogue'!Q6:Q2000, "*Financial sector*",'MSME policies catalogue'!C6:C2000, Dashboard!G153  ))/COUNTIFS('MSME policies catalogue'!C6:C2000, Dashboard!G153, 'MSME policies catalogue'!Q6:Q2000,"&lt;&gt;No information found",'MSME policies catalogue'!Q6:Q2000,"&lt;&gt;No specific target sector")</f>
        <v>0.2</v>
      </c>
      <c r="F70" s="22">
        <f>(COUNTIF('MSME policies catalogue'!$Q$6:$Q$2000, "*Financial sector*"))/(COUNTIFS('MSME policies catalogue'!$Q$6:$Q$2000,"&lt;&gt;No specific target sector", 'MSME policies catalogue'!$Q$6:$Q$2000, "&lt;&gt;No information found", 'MSME policies catalogue'!$Q$6:$Q$2000,"&lt;&gt;"))</f>
        <v>0.15384615384615385</v>
      </c>
      <c r="G70" s="21"/>
      <c r="H70" s="19" t="s">
        <v>135</v>
      </c>
      <c r="I70" s="22">
        <f>(COUNTIFS('MSME policies catalogue'!Q6:Q2000, "*Mining*",'MSME policies catalogue'!D6:D2000, Dashboard!O153 ))/COUNTIFS('MSME policies catalogue'!D6:D2000, Dashboard!O153, 'MSME policies catalogue'!Q6:Q2000,"&lt;&gt;No information found",'MSME policies catalogue'!Q6:Q2000,"&lt;&gt;No specific target sector")</f>
        <v>0</v>
      </c>
      <c r="J70" s="22">
        <f>(COUNTIF('MSME policies catalogue'!$Q$6:$Q$2000, "*Mining*"))/(COUNTIFS('MSME policies catalogue'!$Q$6:$Q$2000,"&lt;&gt;No specific target sector", 'MSME policies catalogue'!$Q$6:$Q$2000, "&lt;&gt;No information found",'MSME policies catalogue'!$Q$6:$Q$2000,"&lt;&gt;"))</f>
        <v>0.10576923076923077</v>
      </c>
      <c r="K70" s="21"/>
      <c r="L70" s="19" t="s">
        <v>135</v>
      </c>
      <c r="M70" s="20">
        <f>(COUNTIFS('MSME policies catalogue'!Q6:Q248, "*Mining*", 'MSME policies catalogue'!T6:T248, "Yes"))/COUNTIFS('MSME policies catalogue'!Q6:Q248,"&lt;&gt;No information found",'MSME policies catalogue'!Q6:Q248,"&lt;&gt;No specific target sector", 'MSME policies catalogue'!T6:T248, "Yes")</f>
        <v>0.1</v>
      </c>
      <c r="N70" s="22">
        <f>(COUNTIF('MSME policies catalogue'!$Q$6:$Q$2000, "*Mining*"))/(COUNTIFS('MSME policies catalogue'!$Q$6:$Q$2000,"&lt;&gt;No specific target sector", 'MSME policies catalogue'!$Q$6:$Q$2000, "&lt;&gt;No information found",'MSME policies catalogue'!$Q$6:$Q$2000,"&lt;&gt;"))</f>
        <v>0.10576923076923077</v>
      </c>
      <c r="O70" s="21"/>
      <c r="P70" s="19" t="s">
        <v>135</v>
      </c>
      <c r="Q70" s="20">
        <f>(COUNTIFS('MSME policies catalogue'!Q6:Q2000, "*Mining*", 'MSME policies catalogue'!J6:J2000, "Yes"))/(COUNTIFS('MSME policies catalogue'!Q6:Q2000,"&lt;&gt;No information found",'MSME policies catalogue'!Q6:Q2000,"&lt;&gt;No specific target sector",'MSME policies catalogue'!J6:J2000, "&lt;&gt;Unsure", 'MSME policies catalogue'!J6:J2000, "Yes"))</f>
        <v>4.6511627906976744E-2</v>
      </c>
      <c r="R70" s="22">
        <f>(COUNTIF('MSME policies catalogue'!$Q$6:$Q$2000, "*Mining*"))/(COUNTIFS('MSME policies catalogue'!$Q$6:$Q$2000,"&lt;&gt;No specific target sector", 'MSME policies catalogue'!$Q$6:$Q$2000, "&lt;&gt;No information found",'MSME policies catalogue'!$Q$6:$Q$2000,"&lt;&gt;"))</f>
        <v>0.10576923076923077</v>
      </c>
      <c r="S70" s="21"/>
    </row>
    <row r="71" spans="3:19" x14ac:dyDescent="0.25">
      <c r="D71" s="21" t="s">
        <v>112</v>
      </c>
      <c r="E71" s="22">
        <f>(COUNTIFS('MSME policies catalogue'!Q6:Q2000, "*Tourism*",'MSME policies catalogue'!C6:C2000, Dashboard!G153  ))/COUNTIFS('MSME policies catalogue'!C6:C2000, Dashboard!G153, 'MSME policies catalogue'!Q6:Q2000,"&lt;&gt;No information found",'MSME policies catalogue'!Q6:Q2000,"&lt;&gt;No specific target sector")</f>
        <v>0.1</v>
      </c>
      <c r="F71" s="22">
        <f>(COUNTIF('MSME policies catalogue'!$Q$6:$Q$2000, "*Tourism*"))/(COUNTIFS('MSME policies catalogue'!$Q$6:$Q$2000,"&lt;&gt;No specific target sector", 'MSME policies catalogue'!$Q$6:$Q$2000, "&lt;&gt;No information found",'MSME policies catalogue'!$Q$6:$Q$2000,"&lt;&gt;"))</f>
        <v>0.17307692307692307</v>
      </c>
      <c r="G71" s="21"/>
      <c r="H71" s="19" t="s">
        <v>132</v>
      </c>
      <c r="I71" s="22">
        <f>(COUNTIFS('MSME policies catalogue'!Q6:Q2000, "*Construction*",'MSME policies catalogue'!D6:D2000, Dashboard!O153 ))/COUNTIFS('MSME policies catalogue'!D6:D2000, Dashboard!O153, 'MSME policies catalogue'!Q6:Q2000,"&lt;&gt;No information found",'MSME policies catalogue'!Q6:Q2000,"&lt;&gt;No specific target sector")</f>
        <v>0.23529411764705882</v>
      </c>
      <c r="J71" s="22">
        <f>(COUNTIF('MSME policies catalogue'!$Q$6:$Q$2000, "*Construction*"))/(COUNTIFS('MSME policies catalogue'!$Q$6:$Q$2000,"&lt;&gt;No specific target sector", 'MSME policies catalogue'!$Q$6:$Q$2000, "&lt;&gt;No information found",'MSME policies catalogue'!$Q$6:$Q$2000,"&lt;&gt;"))</f>
        <v>0.11538461538461539</v>
      </c>
      <c r="K71" s="21"/>
      <c r="L71" s="19" t="s">
        <v>132</v>
      </c>
      <c r="M71" s="20">
        <f>(COUNTIFS('MSME policies catalogue'!Q6:Q2000, "*Construction*", 'MSME policies catalogue'!T6:T2000, "Yes"))/COUNTIFS('MSME policies catalogue'!Q6:Q248,"&lt;&gt;No information found",'MSME policies catalogue'!Q6:Q248,"&lt;&gt;No specific target sector", 'MSME policies catalogue'!T6:T248, "Yes")</f>
        <v>0</v>
      </c>
      <c r="N71" s="22">
        <f>(COUNTIF('MSME policies catalogue'!$Q$6:$Q$2000, "*Construction*"))/(COUNTIFS('MSME policies catalogue'!$Q$6:$Q$2000,"&lt;&gt;No specific target sector", 'MSME policies catalogue'!$Q$6:$Q$2000, "&lt;&gt;No information found",'MSME policies catalogue'!$Q$6:$Q$2000,"&lt;&gt;"))</f>
        <v>0.11538461538461539</v>
      </c>
      <c r="O71" s="21"/>
      <c r="P71" s="19" t="s">
        <v>132</v>
      </c>
      <c r="Q71" s="20">
        <f>(COUNTIFS('MSME policies catalogue'!Q6:Q2000, "*Construction*", 'MSME policies catalogue'!J6:J2000, "Yes"))/(COUNTIFS('MSME policies catalogue'!Q6:Q2000,"&lt;&gt;No information found",'MSME policies catalogue'!Q6:Q2000,"&lt;&gt;No specific target sector",'MSME policies catalogue'!J6:J2000, "&lt;&gt;Unsure", 'MSME policies catalogue'!J6:J2000, "Yes"))</f>
        <v>4.6511627906976744E-2</v>
      </c>
      <c r="R71" s="22">
        <f>(COUNTIF('MSME policies catalogue'!$Q$6:$Q$2000, "*Construction*"))/(COUNTIFS('MSME policies catalogue'!$Q$6:$Q$2000,"&lt;&gt;No specific target sector", 'MSME policies catalogue'!$Q$6:$Q$2000, "&lt;&gt;No information found",'MSME policies catalogue'!$Q$6:$Q$2000,"&lt;&gt;"))</f>
        <v>0.11538461538461539</v>
      </c>
      <c r="S71" s="21"/>
    </row>
    <row r="72" spans="3:19" x14ac:dyDescent="0.25">
      <c r="D72" s="21" t="s">
        <v>137</v>
      </c>
      <c r="E72" s="22">
        <f>(COUNTIFS('MSME policies catalogue'!Q6:Q2000, "*Services*",'MSME policies catalogue'!C6:C2000, Dashboard!G153))/COUNTIFS('MSME policies catalogue'!C6:C2000, Dashboard!G153, 'MSME policies catalogue'!Q6:Q2000,"&lt;&gt;No information found",'MSME policies catalogue'!Q6:Q2000,"&lt;&gt;No specific target sector")</f>
        <v>0.2</v>
      </c>
      <c r="F72" s="22">
        <f>(COUNTIF('MSME policies catalogue'!$Q$6:$Q$2000, "*Services*"))/(COUNTIFS('MSME policies catalogue'!$Q$6:$Q$2000,"&lt;&gt;No specific target sector", 'MSME policies catalogue'!$Q$6:$Q$2000, "&lt;&gt;No information found",'MSME policies catalogue'!$Q$6:$Q$2000,"&lt;&gt;"))</f>
        <v>0.21153846153846154</v>
      </c>
      <c r="G72" s="21"/>
      <c r="H72" s="19" t="s">
        <v>128</v>
      </c>
      <c r="I72" s="22">
        <f>(COUNTIFS('MSME policies catalogue'!Q6:Q248, "*Health care*",'MSME policies catalogue'!D6:D248, Dashboard!O153 ))/COUNTIFS('MSME policies catalogue'!D6:D248, Dashboard!O153, 'MSME policies catalogue'!Q6:Q248,"&lt;&gt;No information found",'MSME policies catalogue'!Q6:Q248,"&lt;&gt;No specific target sector")</f>
        <v>0</v>
      </c>
      <c r="J72" s="22">
        <f>(COUNTIF('MSME policies catalogue'!$Q$6:$Q$2000, "*Health care*"))/(COUNTIFS('MSME policies catalogue'!$Q$6:$Q$2000,"&lt;&gt;No specific target sector", 'MSME policies catalogue'!$Q$6:$Q$2000, "&lt;&gt;No information found",'MSME policies catalogue'!$Q$6:$Q$2000,"&lt;&gt;"))</f>
        <v>0.13461538461538461</v>
      </c>
      <c r="K72" s="21"/>
      <c r="L72" s="19" t="s">
        <v>128</v>
      </c>
      <c r="M72" s="20">
        <f>(COUNTIFS('MSME policies catalogue'!Q6:Q2000, "*Health care*",'MSME policies catalogue'!T6:T2000, "Yes"))/COUNTIFS('MSME policies catalogue'!Q6:Q248,"&lt;&gt;No information found",'MSME policies catalogue'!Q6:Q248,"&lt;&gt;No specific target sector", 'MSME policies catalogue'!T6:T248, "Yes")</f>
        <v>0.35</v>
      </c>
      <c r="N72" s="22">
        <f>(COUNTIF('MSME policies catalogue'!$Q$6:$Q$2000, "*Health care*"))/(COUNTIFS('MSME policies catalogue'!$Q$6:$Q$2000,"&lt;&gt;No specific target sector", 'MSME policies catalogue'!$Q$6:$Q$2000, "&lt;&gt;No information found",'MSME policies catalogue'!$Q$6:$Q$2000,"&lt;&gt;"))</f>
        <v>0.13461538461538461</v>
      </c>
      <c r="O72" s="21"/>
      <c r="P72" s="19" t="s">
        <v>128</v>
      </c>
      <c r="Q72" s="20">
        <f>(COUNTIFS('MSME policies catalogue'!Q6:Q2000, "*Health care*", 'MSME policies catalogue'!J6:J2000, "Yes"))/(COUNTIFS('MSME policies catalogue'!Q6:Q2000,"&lt;&gt;No information found",'MSME policies catalogue'!Q6:Q2000,"&lt;&gt;No specific target sector",'MSME policies catalogue'!J6:J2000, "&lt;&gt;Unsure", 'MSME policies catalogue'!J6:J2000, "Yes"))</f>
        <v>9.3023255813953487E-2</v>
      </c>
      <c r="R72" s="22">
        <f>(COUNTIF('MSME policies catalogue'!$Q$6:$Q$2000, "*Health care*"))/(COUNTIFS('MSME policies catalogue'!$Q$6:$Q$2000,"&lt;&gt;No specific target sector", 'MSME policies catalogue'!$Q$6:$Q$2000, "&lt;&gt;No information found",'MSME policies catalogue'!$Q$6:$Q$2000,"&lt;&gt;"))</f>
        <v>0.13461538461538461</v>
      </c>
      <c r="S72" s="21"/>
    </row>
    <row r="73" spans="3:19" x14ac:dyDescent="0.25">
      <c r="D73" s="21" t="s">
        <v>82</v>
      </c>
      <c r="E73" s="22">
        <f>(COUNTIFS('MSME policies catalogue'!Q6:Q2000, "*Trade*",'MSME policies catalogue'!C6:C2000, Dashboard!G153))/COUNTIFS('MSME policies catalogue'!C6:C2000, Dashboard!G153, 'MSME policies catalogue'!Q6:Q2000,"&lt;&gt;No information found",'MSME policies catalogue'!Q6:Q2000,"&lt;&gt;No specific target sector")</f>
        <v>0.3</v>
      </c>
      <c r="F73" s="22">
        <f>(COUNTIF('MSME policies catalogue'!$Q$6:$Q$2000, "*Trade*"))/(COUNTIFS('MSME policies catalogue'!$Q$6:$Q$2000,"&lt;&gt;No specific target sector", 'MSME policies catalogue'!$Q$6:$Q$2000, "&lt;&gt;No information found",'MSME policies catalogue'!$Q$6:$Q$2000,"&lt;&gt;"))</f>
        <v>0.22115384615384615</v>
      </c>
      <c r="G73" s="21"/>
      <c r="H73" s="19" t="s">
        <v>100</v>
      </c>
      <c r="I73" s="22">
        <f>(COUNTIFS('MSME policies catalogue'!Q6:Q2000, "*Financial sector*",'MSME policies catalogue'!D6:D2000, Dashboard!O153 ))/COUNTIFS('MSME policies catalogue'!D6:D2000, Dashboard!O153, 'MSME policies catalogue'!Q6:Q2000,"&lt;&gt;No information found",'MSME policies catalogue'!Q6:Q2000,"&lt;&gt;No specific target sector")</f>
        <v>0</v>
      </c>
      <c r="J73" s="22">
        <f>(COUNTIF('MSME policies catalogue'!$Q$6:$Q$2000, "*Financial sector*"))/(COUNTIFS('MSME policies catalogue'!$Q$6:$Q$2000,"&lt;&gt;No specific target sector", 'MSME policies catalogue'!$Q$6:$Q$2000, "&lt;&gt;No information found", 'MSME policies catalogue'!$Q$6:$Q$2000,"&lt;&gt;"))</f>
        <v>0.15384615384615385</v>
      </c>
      <c r="K73" s="21"/>
      <c r="L73" s="19" t="s">
        <v>100</v>
      </c>
      <c r="M73" s="20">
        <f>(COUNTIFS('MSME policies catalogue'!Q6:Q2000, "*Financial sector*", 'MSME policies catalogue'!T6:T2000, "Yes"))/COUNTIFS('MSME policies catalogue'!Q6:Q248,"&lt;&gt;No information found",'MSME policies catalogue'!Q6:Q248,"&lt;&gt;No specific target sector", 'MSME policies catalogue'!T6:T248, "Yes")</f>
        <v>0.15</v>
      </c>
      <c r="N73" s="22">
        <f>(COUNTIF('MSME policies catalogue'!$Q$6:$Q$2000, "*Financial sector*"))/(COUNTIFS('MSME policies catalogue'!$Q$6:$Q$2000,"&lt;&gt;No specific target sector", 'MSME policies catalogue'!$Q$6:$Q$2000, "&lt;&gt;No information found", 'MSME policies catalogue'!$Q$6:$Q$2000,"&lt;&gt;"))</f>
        <v>0.15384615384615385</v>
      </c>
      <c r="O73" s="21"/>
      <c r="P73" s="19" t="s">
        <v>100</v>
      </c>
      <c r="Q73" s="20">
        <f>(COUNTIFS('MSME policies catalogue'!Q6:Q2000, "*Financial sector*", 'MSME policies catalogue'!J6:J2000, "Yes"))/(COUNTIFS('MSME policies catalogue'!Q6:Q2000,"&lt;&gt;No information found",'MSME policies catalogue'!Q6:Q2000,"&lt;&gt;No specific target sector",'MSME policies catalogue'!J6:J2000, "&lt;&gt;Unsure", 'MSME policies catalogue'!J6:J2000, "Yes"))</f>
        <v>0.13953488372093023</v>
      </c>
      <c r="R73" s="22">
        <f>(COUNTIF('MSME policies catalogue'!$Q$6:$Q$2000, "*Financial sector*"))/(COUNTIFS('MSME policies catalogue'!$Q$6:$Q$2000,"&lt;&gt;No specific target sector", 'MSME policies catalogue'!$Q$6:$Q$2000, "&lt;&gt;No information found", 'MSME policies catalogue'!$Q$6:$Q$2000,"&lt;&gt;"))</f>
        <v>0.15384615384615385</v>
      </c>
      <c r="S73" s="21"/>
    </row>
    <row r="74" spans="3:19" x14ac:dyDescent="0.25">
      <c r="D74" s="21" t="s">
        <v>88</v>
      </c>
      <c r="E74" s="22">
        <f>(COUNTIFS('MSME policies catalogue'!Q6:Q2000, "*Manufacturing*",'MSME policies catalogue'!C6:C2000, Dashboard!G153 ))/COUNTIFS('MSME policies catalogue'!C6:C2000, Dashboard!G153, 'MSME policies catalogue'!Q6:Q2000,"&lt;&gt;No information found",'MSME policies catalogue'!Q6:Q2000,"&lt;&gt;No specific target sector")</f>
        <v>0.5</v>
      </c>
      <c r="F74" s="22">
        <f>(COUNTIF('MSME policies catalogue'!$Q$6:$Q$2000, "*Manufacturing*"))/(COUNTIFS('MSME policies catalogue'!$Q$6:$Q$2000,"&lt;&gt;No specific target sector", 'MSME policies catalogue'!$Q$6:$Q$2000, "&lt;&gt;No information found",'MSME policies catalogue'!$Q$6:$Q$2000,"&lt;&gt;"))</f>
        <v>0.39423076923076922</v>
      </c>
      <c r="G74" s="21"/>
      <c r="H74" s="19" t="s">
        <v>112</v>
      </c>
      <c r="I74" s="22">
        <f>(COUNTIFS('MSME policies catalogue'!Q6:Q2000, "*Tourism*",'MSME policies catalogue'!D6:D2000, Dashboard!O153 ))/COUNTIFS('MSME policies catalogue'!D6:D2000, Dashboard!O153, 'MSME policies catalogue'!Q6:Q2000,"&lt;&gt;No information found",'MSME policies catalogue'!Q6:Q2000,"&lt;&gt;No specific target sector")</f>
        <v>0.17647058823529413</v>
      </c>
      <c r="J74" s="22">
        <f>(COUNTIF('MSME policies catalogue'!$Q$6:$Q$2000, "*Tourism*"))/(COUNTIFS('MSME policies catalogue'!$Q$6:$Q$2000,"&lt;&gt;No specific target sector", 'MSME policies catalogue'!$Q$6:$Q$2000, "&lt;&gt;No information found",'MSME policies catalogue'!$Q$6:$Q$2000,"&lt;&gt;"))</f>
        <v>0.17307692307692307</v>
      </c>
      <c r="K74" s="21"/>
      <c r="L74" s="19" t="s">
        <v>112</v>
      </c>
      <c r="M74" s="20">
        <f>(COUNTIFS('MSME policies catalogue'!Q6:Q2000, "*Tourism*",'MSME policies catalogue'!T6:T2000, "Yes"))/COUNTIFS('MSME policies catalogue'!Q6:Q248,"&lt;&gt;No information found",'MSME policies catalogue'!Q6:Q248,"&lt;&gt;No specific target sector", 'MSME policies catalogue'!T6:T248, "Yes")</f>
        <v>0.45</v>
      </c>
      <c r="N74" s="22">
        <f>(COUNTIF('MSME policies catalogue'!$Q$6:$Q$2000, "*Tourism*"))/(COUNTIFS('MSME policies catalogue'!$Q$6:$Q$2000,"&lt;&gt;No specific target sector", 'MSME policies catalogue'!$Q$6:$Q$2000, "&lt;&gt;No information found",'MSME policies catalogue'!$Q$6:$Q$2000,"&lt;&gt;"))</f>
        <v>0.17307692307692307</v>
      </c>
      <c r="O74" s="21"/>
      <c r="P74" s="19" t="s">
        <v>112</v>
      </c>
      <c r="Q74" s="20">
        <f>(COUNTIFS('MSME policies catalogue'!Q6:Q2000, "*Tourism*", 'MSME policies catalogue'!J6:J2000, "Yes"))/(COUNTIFS('MSME policies catalogue'!Q6:Q2000,"&lt;&gt;No information found",'MSME policies catalogue'!Q6:Q2000,"&lt;&gt;No specific target sector",'MSME policies catalogue'!J6:J2000, "&lt;&gt;Unsure", 'MSME policies catalogue'!J6:J2000, "Yes"))</f>
        <v>9.3023255813953487E-2</v>
      </c>
      <c r="R74" s="22">
        <f>(COUNTIF('MSME policies catalogue'!$Q$6:$Q$2000, "*Tourism*"))/(COUNTIFS('MSME policies catalogue'!$Q$6:$Q$2000,"&lt;&gt;No specific target sector", 'MSME policies catalogue'!$Q$6:$Q$2000, "&lt;&gt;No information found",'MSME policies catalogue'!$Q$6:$Q$2000,"&lt;&gt;"))</f>
        <v>0.17307692307692307</v>
      </c>
      <c r="S74" s="21"/>
    </row>
    <row r="75" spans="3:19" x14ac:dyDescent="0.25">
      <c r="D75" s="21" t="s">
        <v>76</v>
      </c>
      <c r="E75" s="22">
        <f>(COUNTIFS('MSME policies catalogue'!Q6:Q2000, "*Agriculture*",'MSME policies catalogue'!C6:C2000, Dashboard!G153 ))/COUNTIFS('MSME policies catalogue'!C6:C2000, Dashboard!G153, 'MSME policies catalogue'!Q6:Q2000,"&lt;&gt;No information found",'MSME policies catalogue'!Q6:Q2000,"&lt;&gt;No specific target sector")</f>
        <v>0.4</v>
      </c>
      <c r="F75" s="22">
        <f>(COUNTIF('MSME policies catalogue'!$Q$6:$Q$2000, "*Agriculture*"))/(COUNTIFS('MSME policies catalogue'!$Q$6:$Q$2000,"&lt;&gt;No specific target sector", 'MSME policies catalogue'!$Q$6:$Q$2000, "&lt;&gt;No information found",'MSME policies catalogue'!$Q$6:$Q$2000,"&lt;&gt;"))</f>
        <v>0.70192307692307687</v>
      </c>
      <c r="G75" s="21"/>
      <c r="H75" s="19" t="s">
        <v>137</v>
      </c>
      <c r="I75" s="22">
        <f>(COUNTIFS('MSME policies catalogue'!Q6:Q2000, "*Services*",'MSME policies catalogue'!D6:D2000, Dashboard!O153))/COUNTIFS('MSME policies catalogue'!D6:D2000, Dashboard!O153, 'MSME policies catalogue'!Q6:Q2000,"&lt;&gt;No information found",'MSME policies catalogue'!Q6:Q2000,"&lt;&gt;No specific target sector")</f>
        <v>0.29411764705882354</v>
      </c>
      <c r="J75" s="22">
        <f>(COUNTIF('MSME policies catalogue'!$Q$6:$Q$2000, "*Services*"))/(COUNTIFS('MSME policies catalogue'!$Q$6:$Q$2000,"&lt;&gt;No specific target sector", 'MSME policies catalogue'!$Q$6:$Q$2000, "&lt;&gt;No information found",'MSME policies catalogue'!$Q$6:$Q$2000,"&lt;&gt;"))</f>
        <v>0.21153846153846154</v>
      </c>
      <c r="K75" s="21"/>
      <c r="L75" s="19" t="s">
        <v>137</v>
      </c>
      <c r="M75" s="20">
        <f>(COUNTIFS('MSME policies catalogue'!Q6:Q2000, "*Services*", 'MSME policies catalogue'!T6:T2000, "Yes"))/COUNTIFS('MSME policies catalogue'!Q6:Q248,"&lt;&gt;No information found",'MSME policies catalogue'!Q6:Q248,"&lt;&gt;No specific target sector", 'MSME policies catalogue'!T6:T248, "Yes")</f>
        <v>0.2</v>
      </c>
      <c r="N75" s="22">
        <f>(COUNTIF('MSME policies catalogue'!$Q$6:$Q$2000, "*Services*"))/(COUNTIFS('MSME policies catalogue'!$Q$6:$Q$2000,"&lt;&gt;No specific target sector", 'MSME policies catalogue'!$Q$6:$Q$2000, "&lt;&gt;No information found",'MSME policies catalogue'!$Q$6:$Q$2000,"&lt;&gt;"))</f>
        <v>0.21153846153846154</v>
      </c>
      <c r="O75" s="21"/>
      <c r="P75" s="19" t="s">
        <v>137</v>
      </c>
      <c r="Q75" s="20">
        <f>(COUNTIFS('MSME policies catalogue'!Q6:Q2000, "*Services*", 'MSME policies catalogue'!J6:J2000, "Yes"))/(COUNTIFS('MSME policies catalogue'!Q6:Q2000,"&lt;&gt;No information found",'MSME policies catalogue'!Q6:Q2000,"&lt;&gt;No specific target sector",'MSME policies catalogue'!J6:J2000, "&lt;&gt;Unsure", 'MSME policies catalogue'!J6:J2000, "Yes"))</f>
        <v>0.23255813953488372</v>
      </c>
      <c r="R75" s="22">
        <f>(COUNTIF('MSME policies catalogue'!$Q$6:$Q$2000, "*Services*"))/(COUNTIFS('MSME policies catalogue'!$Q$6:$Q$2000,"&lt;&gt;No specific target sector", 'MSME policies catalogue'!$Q$6:$Q$2000, "&lt;&gt;No information found",'MSME policies catalogue'!$Q$6:$Q$2000,"&lt;&gt;"))</f>
        <v>0.21153846153846154</v>
      </c>
      <c r="S75" s="21"/>
    </row>
    <row r="76" spans="3:19" x14ac:dyDescent="0.25">
      <c r="D76" s="21" t="s">
        <v>182</v>
      </c>
      <c r="F76" s="21"/>
      <c r="G76" s="21"/>
      <c r="H76" s="19" t="s">
        <v>82</v>
      </c>
      <c r="I76" s="22">
        <f>(COUNTIFS('MSME policies catalogue'!Q6:Q2000, "*Trade*",'MSME policies catalogue'!D6:D2000, Dashboard!O153 ))/COUNTIFS('MSME policies catalogue'!D6:D2000, Dashboard!O153, 'MSME policies catalogue'!Q6:Q2000,"&lt;&gt;No information found",'MSME policies catalogue'!Q6:Q2000,"&lt;&gt;No specific target sector")</f>
        <v>0.11764705882352941</v>
      </c>
      <c r="J76" s="22">
        <f>(COUNTIF('MSME policies catalogue'!$Q$6:$Q$2000, "*Trade*"))/(COUNTIFS('MSME policies catalogue'!$Q$6:$Q$2000,"&lt;&gt;No specific target sector", 'MSME policies catalogue'!$Q$6:$Q$2000, "&lt;&gt;No information found",'MSME policies catalogue'!$Q$6:$Q$2000,"&lt;&gt;"))</f>
        <v>0.22115384615384615</v>
      </c>
      <c r="K76" s="21"/>
      <c r="L76" s="19" t="s">
        <v>82</v>
      </c>
      <c r="M76" s="20">
        <f>(COUNTIFS('MSME policies catalogue'!Q6:Q2000, "*Trade*", 'MSME policies catalogue'!T6:T2000, "Yes"))/COUNTIFS('MSME policies catalogue'!Q6:Q248,"&lt;&gt;No information found",'MSME policies catalogue'!Q6:Q248,"&lt;&gt;No specific target sector", 'MSME policies catalogue'!T6:T248, "Yes")</f>
        <v>0.2</v>
      </c>
      <c r="N76" s="22">
        <f>(COUNTIF('MSME policies catalogue'!$Q$6:$Q$2000, "*Trade*"))/(COUNTIFS('MSME policies catalogue'!$Q$6:$Q$2000,"&lt;&gt;No specific target sector", 'MSME policies catalogue'!$Q$6:$Q$2000, "&lt;&gt;No information found",'MSME policies catalogue'!$Q$6:$Q$2000,"&lt;&gt;"))</f>
        <v>0.22115384615384615</v>
      </c>
      <c r="O76" s="21"/>
      <c r="P76" s="19" t="s">
        <v>82</v>
      </c>
      <c r="Q76" s="20">
        <f>(COUNTIFS('MSME policies catalogue'!Q6:Q2000, "*Trade*",'MSME policies catalogue'!J6:J2000, "Yes"))/(COUNTIFS('MSME policies catalogue'!Q6:Q2000,"&lt;&gt;No information found",'MSME policies catalogue'!Q6:Q2000,"&lt;&gt;No specific target sector",'MSME policies catalogue'!J6:J2000, "&lt;&gt;Unsure", 'MSME policies catalogue'!J6:J2000, "Yes"))</f>
        <v>0.20930232558139536</v>
      </c>
      <c r="R76" s="22">
        <f>(COUNTIF('MSME policies catalogue'!$Q$6:$Q$2000, "*Trade*"))/(COUNTIFS('MSME policies catalogue'!$Q$6:$Q$2000,"&lt;&gt;No specific target sector", 'MSME policies catalogue'!$Q$6:$Q$2000, "&lt;&gt;No information found",'MSME policies catalogue'!$Q$6:$Q$2000,"&lt;&gt;"))</f>
        <v>0.22115384615384615</v>
      </c>
      <c r="S76" s="21"/>
    </row>
    <row r="77" spans="3:19" x14ac:dyDescent="0.25">
      <c r="E77" s="28"/>
      <c r="F77" s="28"/>
      <c r="G77" s="21"/>
      <c r="H77" s="19" t="s">
        <v>88</v>
      </c>
      <c r="I77" s="22">
        <f>(COUNTIFS('MSME policies catalogue'!Q6:Q2000, "*Manufacturing*",'MSME policies catalogue'!D6:D2000, Dashboard!O153 ))/COUNTIFS('MSME policies catalogue'!D6:D2000, Dashboard!O153, 'MSME policies catalogue'!Q6:Q2000,"&lt;&gt;No information found",'MSME policies catalogue'!Q6:Q2000,"&lt;&gt;No specific target sector")</f>
        <v>0.35294117647058826</v>
      </c>
      <c r="J77" s="22">
        <f>(COUNTIF('MSME policies catalogue'!$Q$6:$Q$2000, "*Manufacturing*"))/(COUNTIFS('MSME policies catalogue'!$Q$6:$Q$2000,"&lt;&gt;No specific target sector", 'MSME policies catalogue'!$Q$6:$Q$2000, "&lt;&gt;No information found",'MSME policies catalogue'!$Q$6:$Q$2000,"&lt;&gt;"))</f>
        <v>0.39423076923076922</v>
      </c>
      <c r="K77" s="21"/>
      <c r="L77" s="19" t="s">
        <v>88</v>
      </c>
      <c r="M77" s="20">
        <f>(COUNTIFS('MSME policies catalogue'!Q6:Q2000, "*Manufacturing*",'MSME policies catalogue'!T6:T2000, "Yes"))/COUNTIFS('MSME policies catalogue'!Q6:Q248,"&lt;&gt;No information found",'MSME policies catalogue'!Q6:Q248,"&lt;&gt;No specific target sector", 'MSME policies catalogue'!T6:T248, "Yes")</f>
        <v>0.3</v>
      </c>
      <c r="N77" s="22">
        <f>(COUNTIF('MSME policies catalogue'!$Q$6:$Q$2000, "*Manufacturing*"))/(COUNTIFS('MSME policies catalogue'!$Q$6:$Q$2000,"&lt;&gt;No specific target sector", 'MSME policies catalogue'!$Q$6:$Q$2000, "&lt;&gt;No information found",'MSME policies catalogue'!$Q$6:$Q$2000,"&lt;&gt;"))</f>
        <v>0.39423076923076922</v>
      </c>
      <c r="O77" s="21"/>
      <c r="P77" s="19" t="s">
        <v>88</v>
      </c>
      <c r="Q77" s="20">
        <f>(COUNTIFS('MSME policies catalogue'!Q6:Q2000, "*Manufacturing*",'MSME policies catalogue'!J6:J2000, "Yes"))/(COUNTIFS('MSME policies catalogue'!Q6:Q2000,"&lt;&gt;No information found",'MSME policies catalogue'!Q6:Q2000,"&lt;&gt;No specific target sector",'MSME policies catalogue'!J6:J2000, "&lt;&gt;Unsure", 'MSME policies catalogue'!J6:J2000, "Yes"))</f>
        <v>0.27906976744186046</v>
      </c>
      <c r="R77" s="22">
        <f>(COUNTIF('MSME policies catalogue'!$Q$6:$Q$2000, "*Manufacturing*"))/(COUNTIFS('MSME policies catalogue'!$Q$6:$Q$2000,"&lt;&gt;No specific target sector", 'MSME policies catalogue'!$Q$6:$Q$2000, "&lt;&gt;No information found",'MSME policies catalogue'!$Q$6:$Q$2000,"&lt;&gt;"))</f>
        <v>0.39423076923076922</v>
      </c>
      <c r="S77" s="21"/>
    </row>
    <row r="78" spans="3:19" x14ac:dyDescent="0.25">
      <c r="D78" s="21"/>
      <c r="E78" s="21" t="s">
        <v>179</v>
      </c>
      <c r="F78" s="21"/>
      <c r="G78" s="21"/>
      <c r="H78" s="19" t="s">
        <v>76</v>
      </c>
      <c r="I78" s="22">
        <f>(COUNTIFS('MSME policies catalogue'!Q6:Q2000, "*Agriculture*",'MSME policies catalogue'!D6:D2000, Dashboard!O153))/COUNTIFS('MSME policies catalogue'!D6:D2000, Dashboard!O153, 'MSME policies catalogue'!Q6:Q2000,"&lt;&gt;No information found",'MSME policies catalogue'!Q6:Q2000,"&lt;&gt;No specific target sector")</f>
        <v>0.47058823529411764</v>
      </c>
      <c r="J78" s="22">
        <f>(COUNTIF('MSME policies catalogue'!$Q$6:$Q$2000, "*Agriculture*"))/(COUNTIFS('MSME policies catalogue'!$Q$6:$Q$2000,"&lt;&gt;No specific target sector", 'MSME policies catalogue'!$Q$6:$Q$2000, "&lt;&gt;No information found",'MSME policies catalogue'!$Q$6:$Q$2000,"&lt;&gt;"))</f>
        <v>0.70192307692307687</v>
      </c>
      <c r="K78" s="21"/>
      <c r="L78" s="19" t="s">
        <v>76</v>
      </c>
      <c r="M78" s="20">
        <f>(COUNTIFS('MSME policies catalogue'!Q6:Q2000, "*Agriculture*", 'MSME policies catalogue'!T6:T2000, "Yes"))/COUNTIFS('MSME policies catalogue'!Q6:Q248,"&lt;&gt;No information found",'MSME policies catalogue'!Q6:Q248,"&lt;&gt;No specific target sector", 'MSME policies catalogue'!T6:T248, "Yes")</f>
        <v>0.55000000000000004</v>
      </c>
      <c r="N78" s="22">
        <f>(COUNTIF('MSME policies catalogue'!$Q$6:$Q$2000, "*Agriculture*"))/(COUNTIFS('MSME policies catalogue'!$Q$6:$Q$2000,"&lt;&gt;No specific target sector", 'MSME policies catalogue'!$Q$6:$Q$2000, "&lt;&gt;No information found",'MSME policies catalogue'!$Q$6:$Q$2000,"&lt;&gt;"))</f>
        <v>0.70192307692307687</v>
      </c>
      <c r="O78" s="21"/>
      <c r="P78" s="19" t="s">
        <v>76</v>
      </c>
      <c r="Q78" s="20">
        <f>(COUNTIFS('MSME policies catalogue'!Q6:Q2000, "*Agriculture*", 'MSME policies catalogue'!J6:J2000, "Yes"))/(COUNTIFS('MSME policies catalogue'!Q6:Q2000,"&lt;&gt;No information found",'MSME policies catalogue'!Q6:Q2000,"&lt;&gt;No specific target sector",'MSME policies catalogue'!J6:J2000, "&lt;&gt;Unsure", 'MSME policies catalogue'!J6:J2000, "Yes"))</f>
        <v>0.72093023255813948</v>
      </c>
      <c r="R78" s="22">
        <f>(COUNTIF('MSME policies catalogue'!$Q$6:$Q$2000, "*Agriculture*"))/(COUNTIFS('MSME policies catalogue'!$Q$6:$Q$2000,"&lt;&gt;No specific target sector", 'MSME policies catalogue'!$Q$6:$Q$2000, "&lt;&gt;No information found",'MSME policies catalogue'!$Q$6:$Q$2000,"&lt;&gt;"))</f>
        <v>0.70192307692307687</v>
      </c>
      <c r="S78" s="21"/>
    </row>
    <row r="79" spans="3:19" x14ac:dyDescent="0.25">
      <c r="D79" s="27" t="s">
        <v>186</v>
      </c>
      <c r="E79" s="21" t="str">
        <f>Dashboard!G265</f>
        <v>Middle Africa</v>
      </c>
      <c r="F79" t="s">
        <v>174</v>
      </c>
    </row>
    <row r="80" spans="3:19" x14ac:dyDescent="0.25">
      <c r="C80" s="21"/>
      <c r="D80" s="21" t="s">
        <v>80</v>
      </c>
      <c r="E80" s="22">
        <f>(COUNTIFS('MSME policies catalogue'!O6:O2000, "*Stock market development*",'MSME policies catalogue'!C6:C2000, Dashboard!G265 ))/COUNTIFS('MSME policies catalogue'!C6:C2000, Dashboard!G265, 'MSME policies catalogue'!O6:O2000,"&lt;&gt;No information found", 'MSME policies catalogue'!O6:O2000,"&lt;&gt;No enabling infrastructure elements")</f>
        <v>0</v>
      </c>
      <c r="F80" s="22">
        <f>(COUNTIF('MSME policies catalogue'!$O$6:$O$2000, "*Stock market development*"))/(COUNTIFS('MSME policies catalogue'!$O$6:$O$2000,"&lt;&gt;No specific target sector", 'MSME policies catalogue'!$O$6:$O$2000, "&lt;&gt;No information found", 'MSME policies catalogue'!$O$6:$O$2000,"&lt;&gt;No enabling infrastructure elements",'MSME policies catalogue'!$O$6:$O$2000,"&lt;&gt;"))</f>
        <v>5.2631578947368418E-2</v>
      </c>
      <c r="G80" s="28"/>
      <c r="H80" s="28"/>
      <c r="I80" s="28"/>
      <c r="J80" s="28"/>
      <c r="K80" s="28"/>
      <c r="L80" s="28"/>
      <c r="M80" s="28"/>
      <c r="N80" s="28"/>
      <c r="O80" s="28"/>
      <c r="P80" s="28"/>
      <c r="Q80" s="28"/>
      <c r="R80" s="28"/>
      <c r="S80" s="21"/>
    </row>
    <row r="81" spans="2:19" x14ac:dyDescent="0.25">
      <c r="C81" s="21"/>
      <c r="D81" s="21" t="s">
        <v>116</v>
      </c>
      <c r="E81" s="22">
        <f>(COUNTIFS('MSME policies catalogue'!O6:O2000, "*Constraint/landscape assessment*",'MSME policies catalogue'!C6:C2000, Dashboard!G265 ))/COUNTIFS('MSME policies catalogue'!C6:C2000, Dashboard!G265, 'MSME policies catalogue'!O6:O2000,"&lt;&gt;No information found", 'MSME policies catalogue'!O6:O2000,"&lt;&gt;No enabling infrastructure elements")</f>
        <v>0.3125</v>
      </c>
      <c r="F81" s="22">
        <f>(COUNTIF('MSME policies catalogue'!$O$6:$O$2000, "*Constraint/landscape assessment*"))/(COUNTIFS('MSME policies catalogue'!$O$6:$O$2000,"&lt;&gt;No specific target sector", 'MSME policies catalogue'!$O$6:$O$2000, "&lt;&gt;No information found", 'MSME policies catalogue'!$O$6:$O$2000,"&lt;&gt;No enabling infrastructure elements",'MSME policies catalogue'!$O$6:$O$2000,"&lt;&gt;"))</f>
        <v>7.2368421052631582E-2</v>
      </c>
      <c r="G81" s="21"/>
      <c r="H81" s="21"/>
      <c r="I81" s="21" t="s">
        <v>187</v>
      </c>
      <c r="J81" s="21"/>
      <c r="K81" s="21"/>
      <c r="L81" s="21"/>
      <c r="M81" s="21"/>
      <c r="N81" s="21"/>
      <c r="O81" s="21"/>
      <c r="P81" s="21"/>
      <c r="Q81" s="21"/>
      <c r="R81" s="21"/>
      <c r="S81" s="21"/>
    </row>
    <row r="82" spans="2:19" x14ac:dyDescent="0.25">
      <c r="C82" s="21"/>
      <c r="D82" s="21" t="s">
        <v>86</v>
      </c>
      <c r="E82" s="22">
        <f>(COUNTIFS('MSME policies catalogue'!O6:O2000, "*Collateral registry*",'MSME policies catalogue'!C6:C2000, Dashboard!G265 ))/COUNTIFS('MSME policies catalogue'!C6:C2000, Dashboard!G265, 'MSME policies catalogue'!O6:O2000,"&lt;&gt;No information found", 'MSME policies catalogue'!O6:O2000,"&lt;&gt;No enabling infrastructure elements")</f>
        <v>0</v>
      </c>
      <c r="F82" s="22">
        <f>(COUNTIF('MSME policies catalogue'!$O$6:$O$2000, "*Collateral registry*"))/(COUNTIFS('MSME policies catalogue'!$O$6:$O$2000,"&lt;&gt;No specific target sector", 'MSME policies catalogue'!$O$6:$O$2000, "&lt;&gt;No information found", 'MSME policies catalogue'!$O$6:$O$2000,"&lt;&gt;No enabling infrastructure elements",'MSME policies catalogue'!$O$6:$O$2000,"&lt;&gt;"))</f>
        <v>9.8684210526315791E-2</v>
      </c>
      <c r="G82" s="21"/>
      <c r="H82" s="21" t="s">
        <v>186</v>
      </c>
      <c r="I82" s="21" t="str">
        <f>Dashboard!O265</f>
        <v>Lower-middle income</v>
      </c>
      <c r="J82" s="19" t="s">
        <v>183</v>
      </c>
      <c r="K82" s="21"/>
      <c r="L82" s="21" t="s">
        <v>186</v>
      </c>
      <c r="M82" s="21" t="s">
        <v>184</v>
      </c>
      <c r="N82" s="21" t="s">
        <v>177</v>
      </c>
      <c r="O82" s="21"/>
      <c r="P82" s="21" t="s">
        <v>186</v>
      </c>
      <c r="Q82" s="21" t="s">
        <v>185</v>
      </c>
      <c r="R82" s="21" t="s">
        <v>177</v>
      </c>
      <c r="S82" s="21"/>
    </row>
    <row r="83" spans="2:19" x14ac:dyDescent="0.25">
      <c r="C83" s="21"/>
      <c r="D83" s="21" t="s">
        <v>74</v>
      </c>
      <c r="E83" s="22">
        <f>(COUNTIFS('MSME policies catalogue'!O6:O2000, "*Payment system infrastructure*",'MSME policies catalogue'!C6:C2000, Dashboard!G265 ))/COUNTIFS('MSME policies catalogue'!C6:C2000, Dashboard!G265, 'MSME policies catalogue'!O6:O2000,"&lt;&gt;No information found", 'MSME policies catalogue'!O6:O2000,"&lt;&gt;No enabling infrastructure elements")</f>
        <v>6.25E-2</v>
      </c>
      <c r="F83" s="22">
        <f>(COUNTIF('MSME policies catalogue'!$O$6:$O$2000, "*Payment system infrastructure*"))/(COUNTIFS('MSME policies catalogue'!$O$6:$O$2000,"&lt;&gt;No specific target sector", 'MSME policies catalogue'!$O$6:$O$2000, "&lt;&gt;No information found", 'MSME policies catalogue'!$O$6:$O$2000,"&lt;&gt;No enabling infrastructure elements",'MSME policies catalogue'!$O$6:$O$2000,"&lt;&gt;"))</f>
        <v>0.11842105263157894</v>
      </c>
      <c r="G83" s="21"/>
      <c r="H83" s="21" t="s">
        <v>80</v>
      </c>
      <c r="I83" s="22">
        <f>(COUNTIFS('MSME policies catalogue'!O6:O2000, "*Stock market development*",'MSME policies catalogue'!D6:D2000, Dashboard!O265 ))/COUNTIFS('MSME policies catalogue'!D6:D2000, Dashboard!O265, 'MSME policies catalogue'!O6:O2000,"&lt;&gt;No information found", 'MSME policies catalogue'!O6:O2000,"&lt;&gt;No enabling infrastructure elements")</f>
        <v>0.05</v>
      </c>
      <c r="J83" s="22">
        <f>(COUNTIF('MSME policies catalogue'!$O$6:$O$2000, "*Stock market development*"))/(COUNTIFS('MSME policies catalogue'!$O$6:$O$2000,"&lt;&gt;No specific target sector", 'MSME policies catalogue'!$O$6:$O$2000, "&lt;&gt;No information found", 'MSME policies catalogue'!$O$6:$O$2000,"&lt;&gt;No enabling infrastructure elements",'MSME policies catalogue'!$O$6:$O$2000,"&lt;&gt;"))</f>
        <v>5.2631578947368418E-2</v>
      </c>
      <c r="K83" s="21"/>
      <c r="L83" s="21" t="s">
        <v>80</v>
      </c>
      <c r="M83" s="22">
        <f>(COUNTIFS('MSME policies catalogue'!O6:O2000, "*Stock market development*", 'MSME policies catalogue'!T6:T2000, "Yes"))/(COUNTIFS('MSME policies catalogue'!O6:O2000,"&lt;&gt;No specific target sector",'MSME policies catalogue'!O6:O2000, "&lt;&gt;No information found", 'MSME policies catalogue'!T6:T2000, "Yes", 'MSME policies catalogue'!O6:O2000,"&lt;&gt;No enabling infrastructure elements" ))</f>
        <v>7.6923076923076927E-2</v>
      </c>
      <c r="N83" s="22">
        <f>(COUNTIF('MSME policies catalogue'!$O$6:$O$2000, "*Stock market development*"))/(COUNTIFS('MSME policies catalogue'!$O$6:$O$2000,"&lt;&gt;No specific target sector", 'MSME policies catalogue'!$O$6:$O$2000, "&lt;&gt;No information found", 'MSME policies catalogue'!$O$6:$O$2000,"&lt;&gt;No enabling infrastructure elements",'MSME policies catalogue'!$O$6:$O$2000,"&lt;&gt;"))</f>
        <v>5.2631578947368418E-2</v>
      </c>
      <c r="O83" s="21"/>
      <c r="P83" s="21" t="s">
        <v>80</v>
      </c>
      <c r="Q83" s="22">
        <f>(COUNTIFS('MSME policies catalogue'!O6:O2000, "*Stock market development*",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2.6666666666666668E-2</v>
      </c>
      <c r="R83" s="22">
        <f>(COUNTIF('MSME policies catalogue'!O6:O248, "*Stock market development*"))/(COUNTIFS('MSME policies catalogue'!O6:O248,"&lt;&gt;No specific target sector", 'MSME policies catalogue'!O6:O248, "&lt;&gt;No information found", 'MSME policies catalogue'!O6:O248,"&lt;&gt;No enabling infrastructure elements"))</f>
        <v>5.2631578947368418E-2</v>
      </c>
      <c r="S83" s="21"/>
    </row>
    <row r="84" spans="2:19" x14ac:dyDescent="0.25">
      <c r="C84" s="21"/>
      <c r="D84" s="21" t="s">
        <v>122</v>
      </c>
      <c r="E84" s="22">
        <f>(COUNTIFS('MSME policies catalogue'!O6:O2000, "*Incentives to financial institutions*",'MSME policies catalogue'!C6:C2000, Dashboard!G265 ))/COUNTIFS('MSME policies catalogue'!C6:C2000, Dashboard!G265, 'MSME policies catalogue'!O6:O2000,"&lt;&gt;No information found", 'MSME policies catalogue'!O6:O2000,"&lt;&gt;No enabling infrastructure elements")</f>
        <v>0.1875</v>
      </c>
      <c r="F84" s="22">
        <f>(COUNTIF('MSME policies catalogue'!$O$6:$O$2000, "*Incentives to financial institutions*"))/(COUNTIFS('MSME policies catalogue'!$O$6:$O$2000,"&lt;&gt;No specific target sector", 'MSME policies catalogue'!$O$6:$O$2000, "&lt;&gt;No information found", 'MSME policies catalogue'!$O$6:$O$2000,"&lt;&gt;No enabling infrastructure elements",'MSME policies catalogue'!$O$6:$O$2000,"&lt;&gt;"))</f>
        <v>0.11842105263157894</v>
      </c>
      <c r="G84" s="21"/>
      <c r="H84" s="21" t="s">
        <v>116</v>
      </c>
      <c r="I84" s="22">
        <f>(COUNTIFS('MSME policies catalogue'!O6:O2000, "*Constraint/landscape assessment*",'MSME policies catalogue'!D6:D2000, Dashboard!O265 ))/COUNTIFS('MSME policies catalogue'!D6:D2000, Dashboard!O265, 'MSME policies catalogue'!O6:O2000,"&lt;&gt;No information found", 'MSME policies catalogue'!O6:O2000,"&lt;&gt;No enabling infrastructure elements")</f>
        <v>0.1</v>
      </c>
      <c r="J84" s="22">
        <f>(COUNTIF('MSME policies catalogue'!$O$6:$O$2000, "*Constraint/landscape assessment*"))/(COUNTIFS('MSME policies catalogue'!$O$6:$O$2000,"&lt;&gt;No specific target sector", 'MSME policies catalogue'!$O$6:$O$2000, "&lt;&gt;No information found", 'MSME policies catalogue'!$O$6:$O$2000,"&lt;&gt;No enabling infrastructure elements",'MSME policies catalogue'!$O$6:$O$2000,"&lt;&gt;"))</f>
        <v>7.2368421052631582E-2</v>
      </c>
      <c r="K84" s="21"/>
      <c r="L84" s="21" t="s">
        <v>116</v>
      </c>
      <c r="M84" s="22">
        <f>(COUNTIFS('MSME policies catalogue'!O6:O2000, "*Constraint/landscape assessment*",'MSME policies catalogue'!T6:T2000, "Yes"))/(COUNTIFS('MSME policies catalogue'!O6:O2000,"&lt;&gt;No specific target sector",'MSME policies catalogue'!O6:O2000, "&lt;&gt;No information found", 'MSME policies catalogue'!T6:T2000, "Yes", 'MSME policies catalogue'!O6:O2000,"&lt;&gt;No enabling infrastructure elements" ))</f>
        <v>0.15384615384615385</v>
      </c>
      <c r="N84" s="22">
        <f>(COUNTIF('MSME policies catalogue'!$O$6:$O$2000, "*Constraint/landscape assessment*"))/(COUNTIFS('MSME policies catalogue'!$O$6:$O$2000,"&lt;&gt;No specific target sector", 'MSME policies catalogue'!$O$6:$O$2000, "&lt;&gt;No information found", 'MSME policies catalogue'!$O$6:$O$2000,"&lt;&gt;No enabling infrastructure elements",'MSME policies catalogue'!$O$6:$O$2000,"&lt;&gt;"))</f>
        <v>7.2368421052631582E-2</v>
      </c>
      <c r="O84" s="21"/>
      <c r="P84" s="21" t="s">
        <v>116</v>
      </c>
      <c r="Q84" s="22">
        <f>(COUNTIFS('MSME policies catalogue'!O6:O2000, "*Constraint/landscape assessment*",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9.3333333333333338E-2</v>
      </c>
      <c r="R84" s="22">
        <f>(COUNTIF('MSME policies catalogue'!O6:O248, "*Constraint/landscape assessment*"))/(COUNTIFS('MSME policies catalogue'!O6:O248,"&lt;&gt;No specific target sector", 'MSME policies catalogue'!O6:O248, "&lt;&gt;No information found", 'MSME policies catalogue'!O6:O248,"&lt;&gt;No enabling infrastructure elements"))</f>
        <v>7.2368421052631582E-2</v>
      </c>
      <c r="S84" s="21"/>
    </row>
    <row r="85" spans="2:19" x14ac:dyDescent="0.25">
      <c r="C85" s="21"/>
      <c r="D85" s="21" t="s">
        <v>104</v>
      </c>
      <c r="E85" s="22">
        <f>(COUNTIFS('MSME policies catalogue'!O6:O2000, "*Credit information system*",'MSME policies catalogue'!C6:C2000, Dashboard!G265 ))/COUNTIFS('MSME policies catalogue'!C6:C2000, Dashboard!G265, 'MSME policies catalogue'!O6:O2000,"&lt;&gt;No information found", 'MSME policies catalogue'!O6:O2000,"&lt;&gt;No enabling infrastructure elements")</f>
        <v>6.25E-2</v>
      </c>
      <c r="F85" s="22">
        <f>(COUNTIF('MSME policies catalogue'!$O$6:$O$2000, "*Credit information system*"))/(COUNTIFS('MSME policies catalogue'!$O$6:$O$2000,"&lt;&gt;No specific target sector", 'MSME policies catalogue'!$O$6:$O$2000, "&lt;&gt;No information found", 'MSME policies catalogue'!$O$6:$O$2000,"&lt;&gt;No enabling infrastructure elements",'MSME policies catalogue'!$O$6:$O$2000,"&lt;&gt;"))</f>
        <v>0.15131578947368421</v>
      </c>
      <c r="G85" s="21"/>
      <c r="H85" s="21" t="s">
        <v>86</v>
      </c>
      <c r="I85" s="22">
        <f>(COUNTIFS('MSME policies catalogue'!O6:O2000, "*Collateral registry*",'MSME policies catalogue'!D6:D2000, Dashboard!O265 ))/COUNTIFS('MSME policies catalogue'!D6:D2000, Dashboard!O265, 'MSME policies catalogue'!O6:O2000,"&lt;&gt;No information found", 'MSME policies catalogue'!O6:O2000,"&lt;&gt;No enabling infrastructure elements")</f>
        <v>8.7499999999999994E-2</v>
      </c>
      <c r="J85" s="22">
        <f>(COUNTIF('MSME policies catalogue'!$O$6:$O$2000, "*Collateral registry*"))/(COUNTIFS('MSME policies catalogue'!$O$6:$O$2000,"&lt;&gt;No specific target sector", 'MSME policies catalogue'!$O$6:$O$2000, "&lt;&gt;No information found", 'MSME policies catalogue'!$O$6:$O$2000,"&lt;&gt;No enabling infrastructure elements",'MSME policies catalogue'!$O$6:$O$2000,"&lt;&gt;"))</f>
        <v>9.8684210526315791E-2</v>
      </c>
      <c r="K85" s="21"/>
      <c r="L85" s="21" t="s">
        <v>86</v>
      </c>
      <c r="M85" s="22">
        <f>(COUNTIFS('MSME policies catalogue'!O6:O2000, "*Collateral registry*", 'MSME policies catalogue'!T6:T2000, "Yes"))/(COUNTIFS('MSME policies catalogue'!O6:O2000,"&lt;&gt;No specific target sector",'MSME policies catalogue'!O6:O2000, "&lt;&gt;No information found", 'MSME policies catalogue'!T6:T2000, "Yes", 'MSME policies catalogue'!O6:O2000,"&lt;&gt;No enabling infrastructure elements" ))</f>
        <v>7.6923076923076927E-2</v>
      </c>
      <c r="N85" s="22">
        <f>(COUNTIF('MSME policies catalogue'!$O$6:$O$2000, "*Collateral registry*"))/(COUNTIFS('MSME policies catalogue'!$O$6:$O$2000,"&lt;&gt;No specific target sector", 'MSME policies catalogue'!$O$6:$O$2000, "&lt;&gt;No information found", 'MSME policies catalogue'!$O$6:$O$2000,"&lt;&gt;No enabling infrastructure elements",'MSME policies catalogue'!$O$6:$O$2000,"&lt;&gt;"))</f>
        <v>9.8684210526315791E-2</v>
      </c>
      <c r="O85" s="21"/>
      <c r="P85" s="21" t="s">
        <v>86</v>
      </c>
      <c r="Q85" s="22">
        <f>(COUNTIFS('MSME policies catalogue'!O6:O2000, "*Collateral registry*",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0.10666666666666667</v>
      </c>
      <c r="R85" s="22">
        <f>(COUNTIF('MSME policies catalogue'!O6:O248, "*Collateral registry*"))/(COUNTIFS('MSME policies catalogue'!O6:O248,"&lt;&gt;No specific target sector", 'MSME policies catalogue'!O6:O248, "&lt;&gt;No information found", 'MSME policies catalogue'!O6:O248,"&lt;&gt;No enabling infrastructure elements"))</f>
        <v>9.8684210526315791E-2</v>
      </c>
      <c r="S85" s="21"/>
    </row>
    <row r="86" spans="2:19" x14ac:dyDescent="0.25">
      <c r="C86" s="21"/>
      <c r="D86" s="21" t="s">
        <v>110</v>
      </c>
      <c r="E86" s="22">
        <f>(COUNTIFS('MSME policies catalogue'!O6:O2000, "*Capacity building financial institutions*",'MSME policies catalogue'!C6:C2000, Dashboard!G265 ))/COUNTIFS('MSME policies catalogue'!C6:C2000, Dashboard!G265, 'MSME policies catalogue'!O6:O2000,"&lt;&gt;No information found", 'MSME policies catalogue'!O6:O2000,"&lt;&gt;No enabling infrastructure elements")</f>
        <v>6.25E-2</v>
      </c>
      <c r="F86" s="22">
        <f>(COUNTIF('MSME policies catalogue'!$O$6:$O$2000, "*Capacity building financial institutions*"))/(COUNTIFS('MSME policies catalogue'!$O$6:$O$2000,"&lt;&gt;No specific target sector", 'MSME policies catalogue'!$O$6:$O$2000, "&lt;&gt;No information found", 'MSME policies catalogue'!$O$6:$O$2000,"&lt;&gt;No enabling infrastructure elements",'MSME policies catalogue'!$O$6:$O$2000,"&lt;&gt;"))</f>
        <v>0.21052631578947367</v>
      </c>
      <c r="G86" s="21"/>
      <c r="H86" s="21" t="s">
        <v>74</v>
      </c>
      <c r="I86" s="22">
        <f>(COUNTIFS('MSME policies catalogue'!O6:O2000, "*Payment system infrastructure*",'MSME policies catalogue'!D6:D2000, Dashboard!O265 ))/COUNTIFS('MSME policies catalogue'!D6:D2000, Dashboard!O265, 'MSME policies catalogue'!O6:O2000,"&lt;&gt;No information found", 'MSME policies catalogue'!O6:O2000,"&lt;&gt;No enabling infrastructure elements")</f>
        <v>0.13750000000000001</v>
      </c>
      <c r="J86" s="22">
        <f>(COUNTIF('MSME policies catalogue'!$O$6:$O$2000, "*Payment system infrastructure*"))/(COUNTIFS('MSME policies catalogue'!$O$6:$O$2000,"&lt;&gt;No specific target sector", 'MSME policies catalogue'!$O$6:$O$2000, "&lt;&gt;No information found", 'MSME policies catalogue'!$O$6:$O$2000,"&lt;&gt;No enabling infrastructure elements",'MSME policies catalogue'!$O$6:$O$2000,"&lt;&gt;"))</f>
        <v>0.11842105263157894</v>
      </c>
      <c r="K86" s="21"/>
      <c r="L86" s="21" t="s">
        <v>74</v>
      </c>
      <c r="M86" s="22">
        <f>(COUNTIFS('MSME policies catalogue'!O6:O2000, "*Payment system infrastructure*", 'MSME policies catalogue'!T6:T2000, "Yes"))/(COUNTIFS('MSME policies catalogue'!O6:O2000,"&lt;&gt;No specific target sector",'MSME policies catalogue'!O6:O2000, "&lt;&gt;No information found", 'MSME policies catalogue'!T6:T2000, "Yes", 'MSME policies catalogue'!O6:O2000,"&lt;&gt;No enabling infrastructure elements" ))</f>
        <v>0.23076923076923078</v>
      </c>
      <c r="N86" s="22">
        <f>(COUNTIF('MSME policies catalogue'!$O$6:$O$2000, "*Payment system infrastructure*"))/(COUNTIFS('MSME policies catalogue'!$O$6:$O$2000,"&lt;&gt;No specific target sector", 'MSME policies catalogue'!$O$6:$O$2000, "&lt;&gt;No information found", 'MSME policies catalogue'!$O$6:$O$2000,"&lt;&gt;No enabling infrastructure elements",'MSME policies catalogue'!$O$6:$O$2000,"&lt;&gt;"))</f>
        <v>0.11842105263157894</v>
      </c>
      <c r="O86" s="21"/>
      <c r="P86" s="21" t="s">
        <v>74</v>
      </c>
      <c r="Q86" s="22">
        <f>(COUNTIFS('MSME policies catalogue'!O6:O2000, "*Payment system infrastructure*",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0.12</v>
      </c>
      <c r="R86" s="22">
        <f>(COUNTIF('MSME policies catalogue'!O6:O248, "*Payment system infrastructure*"))/(COUNTIFS('MSME policies catalogue'!O6:O248,"&lt;&gt;No specific target sector", 'MSME policies catalogue'!O6:O248, "&lt;&gt;No information found", 'MSME policies catalogue'!O6:O248,"&lt;&gt;No enabling infrastructure elements"))</f>
        <v>0.11842105263157894</v>
      </c>
      <c r="S86" s="21"/>
    </row>
    <row r="87" spans="2:19" x14ac:dyDescent="0.25">
      <c r="C87" s="21"/>
      <c r="D87" s="21" t="s">
        <v>92</v>
      </c>
      <c r="E87" s="22">
        <f>(COUNTIFS('MSME policies catalogue'!O6:O2000, "*Regulatory environment*",'MSME policies catalogue'!C6:C2000, Dashboard!G265 ))/COUNTIFS('MSME policies catalogue'!C6:C2000, Dashboard!G265, 'MSME policies catalogue'!O6:O2000,"&lt;&gt;No information found", 'MSME policies catalogue'!O6:O2000,"&lt;&gt;No enabling infrastructure elements")</f>
        <v>0.3125</v>
      </c>
      <c r="F87" s="22">
        <f>(COUNTIF('MSME policies catalogue'!$O$6:$O$2000, "*Regulatory environment*"))/(COUNTIFS('MSME policies catalogue'!$O$6:$O$2000,"&lt;&gt;No specific target sector", 'MSME policies catalogue'!$O$6:$O$2000, "&lt;&gt;No information found", 'MSME policies catalogue'!$O$6:$O$2000,"&lt;&gt;No enabling infrastructure elements",'MSME policies catalogue'!$O$6:$O$2000,"&lt;&gt;"))</f>
        <v>0.26973684210526316</v>
      </c>
      <c r="G87" s="21"/>
      <c r="H87" s="21" t="s">
        <v>122</v>
      </c>
      <c r="I87" s="22">
        <f>(COUNTIFS('MSME policies catalogue'!O6:O2000, "*Incentives to financial institutions*",'MSME policies catalogue'!D6:D2000, Dashboard!O265 ))/COUNTIFS('MSME policies catalogue'!D6:D2000, Dashboard!O265, 'MSME policies catalogue'!O6:O2000,"&lt;&gt;No information found", 'MSME policies catalogue'!O6:O2000,"&lt;&gt;No enabling infrastructure elements")</f>
        <v>0.13750000000000001</v>
      </c>
      <c r="J87" s="22">
        <f>(COUNTIF('MSME policies catalogue'!$O$6:$O$2000, "*Incentives to financial institutions*"))/(COUNTIFS('MSME policies catalogue'!$O$6:$O$2000,"&lt;&gt;No specific target sector", 'MSME policies catalogue'!$O$6:$O$2000, "&lt;&gt;No information found", 'MSME policies catalogue'!$O$6:$O$2000,"&lt;&gt;No enabling infrastructure elements",'MSME policies catalogue'!$O$6:$O$2000,"&lt;&gt;"))</f>
        <v>0.11842105263157894</v>
      </c>
      <c r="K87" s="21"/>
      <c r="L87" s="21" t="s">
        <v>122</v>
      </c>
      <c r="M87" s="22">
        <f>(COUNTIFS('MSME policies catalogue'!O6:O2000, "*Incentives to financial institutions*",'MSME policies catalogue'!T6:T2000, "Yes"))/(COUNTIFS('MSME policies catalogue'!O6:O2000,"&lt;&gt;No specific target sector",'MSME policies catalogue'!O6:O2000, "&lt;&gt;No information found", 'MSME policies catalogue'!T6:T2000, "Yes", 'MSME policies catalogue'!O6:O2000,"&lt;&gt;No enabling infrastructure elements" ))</f>
        <v>0</v>
      </c>
      <c r="N87" s="22">
        <f>(COUNTIF('MSME policies catalogue'!$O$6:$O$2000, "*Incentives to financial institutions*"))/(COUNTIFS('MSME policies catalogue'!$O$6:$O$2000,"&lt;&gt;No specific target sector", 'MSME policies catalogue'!$O$6:$O$2000, "&lt;&gt;No information found", 'MSME policies catalogue'!$O$6:$O$2000,"&lt;&gt;No enabling infrastructure elements",'MSME policies catalogue'!$O$6:$O$2000,"&lt;&gt;"))</f>
        <v>0.11842105263157894</v>
      </c>
      <c r="O87" s="21"/>
      <c r="P87" s="21" t="s">
        <v>122</v>
      </c>
      <c r="Q87" s="22">
        <f>(COUNTIFS('MSME policies catalogue'!O6:O2000, "*Incentives to financial institutions*",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9.3333333333333338E-2</v>
      </c>
      <c r="R87" s="22">
        <f>(COUNTIF('MSME policies catalogue'!O6:O248, "*Incentives to financial institutions*"))/(COUNTIFS('MSME policies catalogue'!O6:O248,"&lt;&gt;No specific target sector", 'MSME policies catalogue'!O6:O248, "&lt;&gt;No information found", 'MSME policies catalogue'!O6:O248,"&lt;&gt;No enabling infrastructure elements"))</f>
        <v>0.11842105263157894</v>
      </c>
      <c r="S87" s="21"/>
    </row>
    <row r="88" spans="2:19" x14ac:dyDescent="0.25">
      <c r="C88" s="21"/>
      <c r="D88" s="21" t="s">
        <v>98</v>
      </c>
      <c r="E88" s="22">
        <f>(COUNTIFS('MSME policies catalogue'!O6:O2000, "*Capacity building MSMEs*",'MSME policies catalogue'!C6:C2000, Dashboard!G265 ))/COUNTIFS('MSME policies catalogue'!C6:C2000, Dashboard!G265, 'MSME policies catalogue'!O6:O2000,"&lt;&gt;No information found", 'MSME policies catalogue'!O6:O2000,"&lt;&gt;No enabling infrastructure elements")</f>
        <v>0.5625</v>
      </c>
      <c r="F88" s="22">
        <f>(COUNTIF('MSME policies catalogue'!$O$6:$O$2000, "*Capacity building MSMEs*"))/(COUNTIFS('MSME policies catalogue'!$O$6:$O$2000,"&lt;&gt;No specific target sector", 'MSME policies catalogue'!$O$6:$O$2000, "&lt;&gt;No information found", 'MSME policies catalogue'!$O$6:$O$2000,"&lt;&gt;No enabling infrastructure elements",'MSME policies catalogue'!$O$6:$O$2000,"&lt;&gt;"))</f>
        <v>0.70394736842105265</v>
      </c>
      <c r="G88" s="21"/>
      <c r="H88" s="21" t="s">
        <v>104</v>
      </c>
      <c r="I88" s="22">
        <f>(COUNTIFS('MSME policies catalogue'!O6:O2000, "*Credit information system*",'MSME policies catalogue'!D6:D2000, Dashboard!O265 ))/COUNTIFS('MSME policies catalogue'!D6:D2000, Dashboard!O265, 'MSME policies catalogue'!O6:O2000,"&lt;&gt;No information found", 'MSME policies catalogue'!O6:O2000,"&lt;&gt;No enabling infrastructure elements")</f>
        <v>0.2</v>
      </c>
      <c r="J88" s="22">
        <f>(COUNTIF('MSME policies catalogue'!$O$6:$O$2000, "*Credit information system*"))/(COUNTIFS('MSME policies catalogue'!$O$6:$O$2000,"&lt;&gt;No specific target sector", 'MSME policies catalogue'!$O$6:$O$2000, "&lt;&gt;No information found", 'MSME policies catalogue'!$O$6:$O$2000,"&lt;&gt;No enabling infrastructure elements",'MSME policies catalogue'!$O$6:$O$2000,"&lt;&gt;"))</f>
        <v>0.15131578947368421</v>
      </c>
      <c r="K88" s="21"/>
      <c r="L88" s="21" t="s">
        <v>104</v>
      </c>
      <c r="M88" s="22">
        <f>(COUNTIFS('MSME policies catalogue'!O6:O2000, "*Credit information system*", 'MSME policies catalogue'!T6:T2000, "Yes"))/(COUNTIFS('MSME policies catalogue'!O6:O2000,"&lt;&gt;No specific target sector",'MSME policies catalogue'!O6:O2000, "&lt;&gt;No information found", 'MSME policies catalogue'!T6:T2000, "Yes", 'MSME policies catalogue'!O6:O2000,"&lt;&gt;No enabling infrastructure elements" ))</f>
        <v>0.15384615384615385</v>
      </c>
      <c r="N88" s="22">
        <f>(COUNTIF('MSME policies catalogue'!$O$6:$O$2000, "*Credit information system*"))/(COUNTIFS('MSME policies catalogue'!$O$6:$O$2000,"&lt;&gt;No specific target sector", 'MSME policies catalogue'!$O$6:$O$2000, "&lt;&gt;No information found", 'MSME policies catalogue'!$O$6:$O$2000,"&lt;&gt;No enabling infrastructure elements",'MSME policies catalogue'!$O$6:$O$2000,"&lt;&gt;"))</f>
        <v>0.15131578947368421</v>
      </c>
      <c r="O88" s="21"/>
      <c r="P88" s="21" t="s">
        <v>104</v>
      </c>
      <c r="Q88" s="22">
        <f>(COUNTIFS('MSME policies catalogue'!O6:O2000, "*Credit information system*",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0.17333333333333334</v>
      </c>
      <c r="R88" s="22">
        <f>(COUNTIF('MSME policies catalogue'!O6:O248, "*Credit information system*"))/(COUNTIFS('MSME policies catalogue'!O6:O248,"&lt;&gt;No specific target sector", 'MSME policies catalogue'!O6:O248, "&lt;&gt;No information found", 'MSME policies catalogue'!O6:O248,"&lt;&gt;No enabling infrastructure elements"))</f>
        <v>0.15131578947368421</v>
      </c>
      <c r="S88" s="21"/>
    </row>
    <row r="89" spans="2:19" x14ac:dyDescent="0.25">
      <c r="C89" s="21"/>
      <c r="D89" s="21" t="s">
        <v>186</v>
      </c>
      <c r="G89" s="21"/>
      <c r="H89" s="21" t="s">
        <v>110</v>
      </c>
      <c r="I89" s="22">
        <f>(COUNTIFS('MSME policies catalogue'!O6:O2000, "*Capacity building financial institutions*",'MSME policies catalogue'!D6:D2000, Dashboard!O265 ))/COUNTIFS('MSME policies catalogue'!D6:D2000, Dashboard!O265, 'MSME policies catalogue'!O6:O2000,"&lt;&gt;No information found", 'MSME policies catalogue'!O6:O2000,"&lt;&gt;No enabling infrastructure elements")</f>
        <v>0.23749999999999999</v>
      </c>
      <c r="J89" s="22">
        <f>(COUNTIF('MSME policies catalogue'!$O$6:$O$2000, "*Capacity building financial institutions*"))/(COUNTIFS('MSME policies catalogue'!$O$6:$O$2000,"&lt;&gt;No specific target sector", 'MSME policies catalogue'!$O$6:$O$2000, "&lt;&gt;No information found", 'MSME policies catalogue'!$O$6:$O$2000,"&lt;&gt;No enabling infrastructure elements",'MSME policies catalogue'!$O$6:$O$2000,"&lt;&gt;"))</f>
        <v>0.21052631578947367</v>
      </c>
      <c r="K89" s="21"/>
      <c r="L89" s="21" t="s">
        <v>110</v>
      </c>
      <c r="M89" s="22">
        <f>(COUNTIFS('MSME policies catalogue'!O6:O2000, "*Capacity building financial institutions*", 'MSME policies catalogue'!T6:T2000, "Yes"))/(COUNTIFS('MSME policies catalogue'!O6:O2000,"&lt;&gt;No specific target sector",'MSME policies catalogue'!O6:O2000, "&lt;&gt;No information found", 'MSME policies catalogue'!T6:T2000, "Yes", 'MSME policies catalogue'!O6:O2000,"&lt;&gt;No enabling infrastructure elements" ))</f>
        <v>0.15384615384615385</v>
      </c>
      <c r="N89" s="22">
        <f>(COUNTIF('MSME policies catalogue'!$O$6:$O$2000, "*Capacity building financial institutions*"))/(COUNTIFS('MSME policies catalogue'!$O$6:$O$2000,"&lt;&gt;No specific target sector", 'MSME policies catalogue'!$O$6:$O$2000, "&lt;&gt;No information found", 'MSME policies catalogue'!$O$6:$O$2000,"&lt;&gt;No enabling infrastructure elements",'MSME policies catalogue'!$O$6:$O$2000,"&lt;&gt;"))</f>
        <v>0.21052631578947367</v>
      </c>
      <c r="O89" s="21"/>
      <c r="P89" s="21" t="s">
        <v>110</v>
      </c>
      <c r="Q89" s="22">
        <f>(COUNTIFS('MSME policies catalogue'!O6:O2000, "*Capacity building financial institutions*",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0.28000000000000003</v>
      </c>
      <c r="R89" s="22">
        <f>(COUNTIF('MSME policies catalogue'!O6:O248, "*Capacity building financial institutions*"))/(COUNTIFS('MSME policies catalogue'!O6:O248,"&lt;&gt;No specific target sector", 'MSME policies catalogue'!O6:O248, "&lt;&gt;No information found", 'MSME policies catalogue'!O6:O248,"&lt;&gt;No enabling infrastructure elements"))</f>
        <v>0.21052631578947367</v>
      </c>
      <c r="S89" s="21"/>
    </row>
    <row r="90" spans="2:19" x14ac:dyDescent="0.25">
      <c r="C90" s="21"/>
      <c r="E90" s="28"/>
      <c r="F90" s="28"/>
      <c r="G90" s="21"/>
      <c r="H90" s="21" t="s">
        <v>92</v>
      </c>
      <c r="I90" s="22">
        <f>(COUNTIFS('MSME policies catalogue'!O6:O2000, "*Regulatory environment*",'MSME policies catalogue'!D6:D2000, Dashboard!O265 ))/COUNTIFS('MSME policies catalogue'!D6:D2000, Dashboard!O265, 'MSME policies catalogue'!O6:O2000,"&lt;&gt;No information found", 'MSME policies catalogue'!O6:O2000,"&lt;&gt;No enabling infrastructure elements")</f>
        <v>0.28749999999999998</v>
      </c>
      <c r="J90" s="22">
        <f>(COUNTIF('MSME policies catalogue'!$O$6:$O$2000, "*Regulatory environment*"))/(COUNTIFS('MSME policies catalogue'!$O$6:$O$2000,"&lt;&gt;No specific target sector", 'MSME policies catalogue'!$O$6:$O$2000, "&lt;&gt;No information found", 'MSME policies catalogue'!$O$6:$O$2000,"&lt;&gt;No enabling infrastructure elements",'MSME policies catalogue'!$O$6:$O$2000,"&lt;&gt;"))</f>
        <v>0.26973684210526316</v>
      </c>
      <c r="K90" s="21"/>
      <c r="L90" s="21" t="s">
        <v>92</v>
      </c>
      <c r="M90" s="22">
        <f>(COUNTIFS('MSME policies catalogue'!O6:O2000, "*Regulatory environment*", 'MSME policies catalogue'!T6:T2000, "Yes"))/(COUNTIFS('MSME policies catalogue'!O6:O2000,"&lt;&gt;No specific target sector",'MSME policies catalogue'!O6:O2000, "&lt;&gt;No information found", 'MSME policies catalogue'!T6:T2000, "Yes", 'MSME policies catalogue'!O6:O2000,"&lt;&gt;No enabling infrastructure elements" ))</f>
        <v>0.15384615384615385</v>
      </c>
      <c r="N90" s="22">
        <f>(COUNTIF('MSME policies catalogue'!$O$6:$O$2000, "*Regulatory environment*"))/(COUNTIFS('MSME policies catalogue'!$O$6:$O$2000,"&lt;&gt;No specific target sector", 'MSME policies catalogue'!$O$6:$O$2000, "&lt;&gt;No information found", 'MSME policies catalogue'!$O$6:$O$2000,"&lt;&gt;No enabling infrastructure elements",'MSME policies catalogue'!$O$6:$O$2000,"&lt;&gt;"))</f>
        <v>0.26973684210526316</v>
      </c>
      <c r="O90" s="21"/>
      <c r="P90" s="21" t="s">
        <v>92</v>
      </c>
      <c r="Q90" s="22">
        <f>(COUNTIFS('MSME policies catalogue'!O6:O2000, "*Regulatory environment*",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0.24</v>
      </c>
      <c r="R90" s="22">
        <f>(COUNTIF('MSME policies catalogue'!O6:O248, "*Regulatory environment*"))/(COUNTIFS('MSME policies catalogue'!O6:O248,"&lt;&gt;No specific target sector", 'MSME policies catalogue'!O6:O248, "&lt;&gt;No information found", 'MSME policies catalogue'!O6:O248,"&lt;&gt;No enabling infrastructure elements"))</f>
        <v>0.26973684210526316</v>
      </c>
      <c r="S90" s="21"/>
    </row>
    <row r="91" spans="2:19" x14ac:dyDescent="0.25">
      <c r="C91" s="21"/>
      <c r="D91" s="21"/>
      <c r="F91" s="21"/>
      <c r="G91" s="21"/>
      <c r="H91" s="21" t="s">
        <v>98</v>
      </c>
      <c r="I91" s="22">
        <f>(COUNTIFS('MSME policies catalogue'!O6:O2000, "*Capacity building MSMEs*",'MSME policies catalogue'!D6:D2000, Dashboard!O265 ))/COUNTIFS('MSME policies catalogue'!D6:D2000, Dashboard!O265, 'MSME policies catalogue'!O6:O2000,"&lt;&gt;No information found", 'MSME policies catalogue'!O6:O2000,"&lt;&gt;No enabling infrastructure elements")</f>
        <v>0.67500000000000004</v>
      </c>
      <c r="J91" s="22">
        <f>(COUNTIF('MSME policies catalogue'!$O$6:$O$2000, "*Capacity building MSMEs*"))/(COUNTIFS('MSME policies catalogue'!$O$6:$O$2000,"&lt;&gt;No specific target sector", 'MSME policies catalogue'!$O$6:$O$2000, "&lt;&gt;No information found", 'MSME policies catalogue'!$O$6:$O$2000,"&lt;&gt;No enabling infrastructure elements",'MSME policies catalogue'!$O$6:$O$2000,"&lt;&gt;"))</f>
        <v>0.70394736842105265</v>
      </c>
      <c r="K91" s="21"/>
      <c r="L91" s="21" t="s">
        <v>98</v>
      </c>
      <c r="M91" s="22">
        <f>(COUNTIFS('MSME policies catalogue'!O6:O2000, "*Capacity building MSMEs*",'MSME policies catalogue'!T6:T2000, "Yes"))/(COUNTIFS('MSME policies catalogue'!O6:O2000,"&lt;&gt;No specific target sector",'MSME policies catalogue'!O6:O2000, "&lt;&gt;No information found", 'MSME policies catalogue'!T6:T2000, "Yes", 'MSME policies catalogue'!O6:O2000,"&lt;&gt;No enabling infrastructure elements" ))</f>
        <v>0.46153846153846156</v>
      </c>
      <c r="N91" s="22">
        <f>(COUNTIF('MSME policies catalogue'!$O$6:$O$2000, "*Capacity building MSMEs*"))/(COUNTIFS('MSME policies catalogue'!$O$6:$O$2000,"&lt;&gt;No specific target sector", 'MSME policies catalogue'!$O$6:$O$2000, "&lt;&gt;No information found", 'MSME policies catalogue'!$O$6:$O$2000,"&lt;&gt;No enabling infrastructure elements",'MSME policies catalogue'!$O$6:$O$2000,"&lt;&gt;"))</f>
        <v>0.70394736842105265</v>
      </c>
      <c r="O91" s="21"/>
      <c r="P91" s="21" t="s">
        <v>98</v>
      </c>
      <c r="Q91" s="22">
        <f>(COUNTIFS('MSME policies catalogue'!O6:O2000, "*Capacity building MSMEs*", 'MSME policies catalogue'!J6:J2000, "Yes"))/(COUNTIFS('MSME policies catalogue'!O6:O2000,"&lt;&gt;No information found",'MSME policies catalogue'!O6:O2000,"&lt;&gt;No specific target sector",'MSME policies catalogue'!J6:J2000, "&lt;&gt;Unsure", 'MSME policies catalogue'!J6:J2000, "Yes",'MSME policies catalogue'!O6:O2000,"&lt;&gt;No enabling infrastructure elements" ))</f>
        <v>0.66666666666666663</v>
      </c>
      <c r="R91" s="22">
        <f>(COUNTIF('MSME policies catalogue'!O6:O248, "*Capacity building MSMEs*"))/(COUNTIFS('MSME policies catalogue'!O6:O248,"&lt;&gt;No specific target sector", 'MSME policies catalogue'!O6:O248, "&lt;&gt;No information found", 'MSME policies catalogue'!O6:O248,"&lt;&gt;No enabling infrastructure elements"))</f>
        <v>0.70394736842105265</v>
      </c>
      <c r="S91" s="21"/>
    </row>
    <row r="92" spans="2:19" x14ac:dyDescent="0.25">
      <c r="C92" s="21"/>
      <c r="D92" s="21"/>
      <c r="E92" s="21" t="s">
        <v>188</v>
      </c>
      <c r="F92" s="21"/>
      <c r="G92" s="21"/>
      <c r="H92" s="21"/>
      <c r="I92" s="21"/>
      <c r="J92" s="21"/>
      <c r="K92" s="21"/>
      <c r="L92" s="21"/>
      <c r="M92" s="21"/>
      <c r="N92" s="21"/>
      <c r="O92" s="21"/>
      <c r="P92" s="21"/>
      <c r="Q92" s="21"/>
      <c r="R92" s="21"/>
      <c r="S92" s="21"/>
    </row>
    <row r="93" spans="2:19" x14ac:dyDescent="0.25">
      <c r="B93" s="21"/>
      <c r="C93" s="21"/>
      <c r="D93" s="27" t="s">
        <v>189</v>
      </c>
      <c r="E93" s="21" t="str">
        <f>Dashboard!F38</f>
        <v>Western Africa</v>
      </c>
      <c r="F93" t="s">
        <v>174</v>
      </c>
      <c r="G93" s="21"/>
      <c r="H93" s="21"/>
      <c r="I93" s="21"/>
      <c r="J93" s="21"/>
      <c r="K93" s="21"/>
      <c r="L93" s="21"/>
      <c r="M93" s="21"/>
      <c r="N93" s="21"/>
      <c r="O93" s="21"/>
      <c r="P93" s="21"/>
      <c r="Q93" s="21"/>
      <c r="R93" s="21"/>
      <c r="S93" s="21"/>
    </row>
    <row r="94" spans="2:19" x14ac:dyDescent="0.25">
      <c r="B94" s="21"/>
      <c r="C94" s="21"/>
      <c r="D94" s="21" t="s">
        <v>2252</v>
      </c>
      <c r="E94" s="22">
        <f>(COUNTIFS('MSME policies catalogue'!M6:M2000, "*Overarching framework*",'MSME policies catalogue'!C6:C2000, Dashboard!F38 ))/COUNTIFS('MSME policies catalogue'!C6:C2000, Dashboard!F38, 'MSME policies catalogue'!Y6:Y2000,"&lt;&gt;""")</f>
        <v>6.3492063492063489E-2</v>
      </c>
      <c r="F94" s="25">
        <f>COUNTIF('MSME policies catalogue'!M6:M2000, "*Overarching framework*")/(Codes!A1)</f>
        <v>6.1728395061728392E-2</v>
      </c>
      <c r="G94" s="28"/>
      <c r="H94" s="28"/>
      <c r="I94" s="28"/>
      <c r="J94" s="28"/>
      <c r="K94" s="28"/>
      <c r="L94" s="28"/>
      <c r="M94" s="28"/>
      <c r="N94" s="28"/>
      <c r="O94" s="28"/>
      <c r="P94" s="28"/>
      <c r="Q94" s="28"/>
      <c r="R94" s="28"/>
      <c r="S94" s="21"/>
    </row>
    <row r="95" spans="2:19" x14ac:dyDescent="0.25">
      <c r="B95" s="21"/>
      <c r="C95" s="21"/>
      <c r="D95" s="26" t="s">
        <v>2270</v>
      </c>
      <c r="E95" s="25">
        <f>(COUNTIFS('MSME policies catalogue'!M6:M2000, "*Roadmap*",'MSME policies catalogue'!C6:C2000, Dashboard!F38 ))/COUNTIFS('MSME policies catalogue'!C6:C2000, Dashboard!F38, 'MSME policies catalogue'!Y6:Y2000,"&lt;&gt;""")</f>
        <v>0.14285714285714285</v>
      </c>
      <c r="F95" s="25">
        <f>COUNTIF('MSME policies catalogue'!M6:M2000, "*Roadmap*")/(Codes!A1)</f>
        <v>0.15637860082304528</v>
      </c>
      <c r="G95" s="21"/>
      <c r="H95" s="21"/>
      <c r="I95" s="21" t="s">
        <v>181</v>
      </c>
      <c r="J95" s="21"/>
      <c r="K95" s="21"/>
      <c r="L95" s="21"/>
      <c r="M95" s="21"/>
      <c r="N95" s="21"/>
      <c r="O95" s="21"/>
      <c r="P95" s="21"/>
      <c r="Q95" s="21"/>
      <c r="R95" s="21"/>
      <c r="S95" s="21"/>
    </row>
    <row r="96" spans="2:19" x14ac:dyDescent="0.25">
      <c r="B96" s="21"/>
      <c r="C96" s="21"/>
      <c r="D96" s="21" t="s">
        <v>2248</v>
      </c>
      <c r="E96" s="22">
        <f>(COUNTIFS('MSME policies catalogue'!M6:M2000, "*Implementing agency*",'MSME policies catalogue'!C6:C2000, Dashboard!F38 ))/COUNTIFS('MSME policies catalogue'!C6:C2000, Dashboard!F38, 'MSME policies catalogue'!Y6:Y2000,"&lt;&gt;""")</f>
        <v>0.26984126984126983</v>
      </c>
      <c r="F96" s="22">
        <f>COUNTIF('MSME policies catalogue'!M6:M2000, "*Implementing agency*")/(Codes!A1)</f>
        <v>0.22633744855967078</v>
      </c>
      <c r="G96" s="21"/>
      <c r="H96" s="21" t="s">
        <v>189</v>
      </c>
      <c r="I96" s="21" t="str">
        <f>Dashboard!N38</f>
        <v>Lower-middle income</v>
      </c>
      <c r="J96" s="19" t="s">
        <v>183</v>
      </c>
      <c r="K96" s="21"/>
      <c r="L96" s="21" t="s">
        <v>189</v>
      </c>
      <c r="M96" s="21" t="s">
        <v>184</v>
      </c>
      <c r="N96" s="21" t="s">
        <v>177</v>
      </c>
      <c r="O96" s="21"/>
      <c r="P96" s="21" t="s">
        <v>189</v>
      </c>
      <c r="Q96" s="21" t="s">
        <v>185</v>
      </c>
      <c r="R96" s="21" t="s">
        <v>177</v>
      </c>
      <c r="S96" s="21"/>
    </row>
    <row r="97" spans="2:19" x14ac:dyDescent="0.25">
      <c r="B97" s="21"/>
      <c r="C97" s="21"/>
      <c r="D97" s="21" t="s">
        <v>2272</v>
      </c>
      <c r="E97" s="22">
        <f>(COUNTIFS('MSME policies catalogue'!M6:M2000, "*Intervention*",'MSME policies catalogue'!C6:C2000, Dashboard!F38))/COUNTIFS('MSME policies catalogue'!C6:C2000, Dashboard!F38, 'MSME policies catalogue'!Y6:Y2000,"&lt;&gt;""")</f>
        <v>0.52380952380952384</v>
      </c>
      <c r="F97" s="22">
        <f>COUNTIF('MSME policies catalogue'!M6:M2000, "*Intervention*")/(Codes!A1)</f>
        <v>0.55555555555555558</v>
      </c>
      <c r="G97" s="26"/>
      <c r="H97" s="21" t="s">
        <v>2252</v>
      </c>
      <c r="I97" s="22">
        <f>(COUNTIFS('MSME policies catalogue'!M6:M2000, "*Overarching framework*",'MSME policies catalogue'!D6:D2000, Dashboard!N38 ))/COUNTIFS('MSME policies catalogue'!D6:D2000, Dashboard!N38, 'MSME policies catalogue'!M6:M2000,"&lt;&gt;""")</f>
        <v>2.4390243902439025E-2</v>
      </c>
      <c r="J97" s="22">
        <f>COUNTIF('MSME policies catalogue'!M6:M2000, "*Overarching framework*")/(Codes!A1)</f>
        <v>6.1728395061728392E-2</v>
      </c>
      <c r="K97" s="21"/>
      <c r="L97" s="21" t="s">
        <v>2252</v>
      </c>
      <c r="M97" s="22">
        <f>(COUNTIFS('MSME policies catalogue'!M6:M2000, "*Overarching framework*", 'MSME policies catalogue'!T6:T2000, "Yes"))/(Codes!A1)</f>
        <v>0</v>
      </c>
      <c r="N97" s="22">
        <f>COUNTIF('MSME policies catalogue'!M6:M248, "*Overarching framework*")/(COUNTIF('MSME policies catalogue'!Y6:Y248, "&lt;&gt;"""))</f>
        <v>6.1728395061728392E-2</v>
      </c>
      <c r="O97" s="21"/>
      <c r="P97" s="21" t="s">
        <v>2252</v>
      </c>
      <c r="Q97" s="25">
        <f>(COUNTIFS('MSME policies catalogue'!M6:M2000, "*Overarching framework*", 'MSME policies catalogue'!J6:J2000, "Yes"))/(COUNTIFS('MSME policies catalogue'!M6:M2000,"&lt;&gt;""",'MSME policies catalogue'!J6:J2000, "&lt;&gt;Unsure",'MSME policies catalogue'!J6:J2000, "Yes"))</f>
        <v>4.8543689320388349E-2</v>
      </c>
      <c r="R97" s="22">
        <f>COUNTIF('MSME policies catalogue'!M6:M248, "*Overarching framework*")/(Codes!A1)</f>
        <v>6.1728395061728392E-2</v>
      </c>
      <c r="S97" s="21"/>
    </row>
    <row r="98" spans="2:19" x14ac:dyDescent="0.25">
      <c r="B98" s="21"/>
      <c r="C98" s="21"/>
      <c r="D98" s="21" t="s">
        <v>189</v>
      </c>
      <c r="G98" s="26"/>
      <c r="H98" s="26" t="s">
        <v>2270</v>
      </c>
      <c r="I98" s="25">
        <f>(COUNTIFS('MSME policies catalogue'!M6:M2000, "*Roadmap*",'MSME policies catalogue'!D6:D2000, Dashboard!N38 ))/COUNTIFS('MSME policies catalogue'!D6:D2000, Dashboard!N38, 'MSME policies catalogue'!M6:M2000,"&lt;&gt;""")</f>
        <v>0.17886178861788618</v>
      </c>
      <c r="J98" s="25">
        <f>COUNTIF('MSME policies catalogue'!M6:M248, "*Roadmap*")/(Codes!A1)</f>
        <v>0.15637860082304528</v>
      </c>
      <c r="K98" s="21"/>
      <c r="L98" s="26" t="s">
        <v>2270</v>
      </c>
      <c r="M98" s="25">
        <f>(COUNTIFS('MSME policies catalogue'!M6:M2000, "*Roadmap*", 'MSME policies catalogue'!T6:T2000, "Yes"))/(COUNTIFS('MSME policies catalogue'!M6:M2000,"&lt;&gt;""", 'MSME policies catalogue'!T6:T2000, "Yes" ))</f>
        <v>0.19047619047619047</v>
      </c>
      <c r="N98" s="25">
        <f>COUNTIF('MSME policies catalogue'!M6:M248, "*Roadmap*")/(COUNTIF('MSME policies catalogue'!Y6:Y248, "&lt;&gt;"""))</f>
        <v>0.15637860082304528</v>
      </c>
      <c r="O98" s="21"/>
      <c r="P98" s="26" t="s">
        <v>2270</v>
      </c>
      <c r="Q98" s="25">
        <f>(COUNTIFS('MSME policies catalogue'!M6:M2000, "*Roadmap*", 'MSME policies catalogue'!J6:J2000, "Yes"))/(COUNTIFS('MSME policies catalogue'!M6:M2000,"&lt;&gt;""",'MSME policies catalogue'!J6:J2000, "&lt;&gt;Unsure",  'MSME policies catalogue'!J6:J2000, "Yes"))</f>
        <v>0.13592233009708737</v>
      </c>
      <c r="R98" s="25">
        <f>COUNTIF('MSME policies catalogue'!M6:M248, "*Roadmap*")/(Codes!A1)</f>
        <v>0.15637860082304528</v>
      </c>
      <c r="S98" s="21"/>
    </row>
    <row r="99" spans="2:19" x14ac:dyDescent="0.25">
      <c r="B99" s="21"/>
      <c r="C99" s="21"/>
      <c r="E99" s="28"/>
      <c r="F99" s="28"/>
      <c r="G99" s="21"/>
      <c r="H99" s="21" t="s">
        <v>2248</v>
      </c>
      <c r="I99" s="22">
        <f>(COUNTIFS('MSME policies catalogue'!M6:M2000, "*Implementing agency*",'MSME policies catalogue'!D6:D2000, Dashboard!N38 ))/COUNTIFS('MSME policies catalogue'!D6:D2000, Dashboard!N38, 'MSME policies catalogue'!M6:M2000,"&lt;&gt;""")</f>
        <v>0.25203252032520324</v>
      </c>
      <c r="J99" s="22">
        <f>COUNTIF('MSME policies catalogue'!M6:M248, "*Implementing agency*")/(Codes!A1)</f>
        <v>0.22633744855967078</v>
      </c>
      <c r="K99" s="21"/>
      <c r="L99" s="21" t="s">
        <v>2248</v>
      </c>
      <c r="M99" s="22">
        <f>(COUNTIFS('MSME policies catalogue'!M6:M2000, "*Implementing agency*", 'MSME policies catalogue'!T6:T2000, "Yes"))/(COUNTIFS('MSME policies catalogue'!M6:M2000,"&lt;&gt;""", 'MSME policies catalogue'!T6:T2000, "Yes" ))</f>
        <v>9.5238095238095233E-2</v>
      </c>
      <c r="N99" s="22">
        <f>COUNTIF('MSME policies catalogue'!M6:M248, "*Implementing agency*")/(COUNTIF('MSME policies catalogue'!Y6:Y248, "&lt;&gt;"""))</f>
        <v>0.22633744855967078</v>
      </c>
      <c r="O99" s="21"/>
      <c r="P99" s="21" t="s">
        <v>2248</v>
      </c>
      <c r="Q99" s="22">
        <f>(COUNTIFS('MSME policies catalogue'!M6:M2000, "*Implementing agency*", 'MSME policies catalogue'!J6:J2000, "Yes"))/(COUNTIFS('MSME policies catalogue'!M6:M2000,"&lt;&gt;""",'MSME policies catalogue'!J6:J2000, "&lt;&gt;Unsure",  'MSME policies catalogue'!J6:J2000, "Yes"))</f>
        <v>0.1650485436893204</v>
      </c>
      <c r="R99" s="22">
        <f>COUNTIF('MSME policies catalogue'!M6:M248, "*Implementing agency*")/(Codes!A1)</f>
        <v>0.22633744855967078</v>
      </c>
      <c r="S99" s="21"/>
    </row>
    <row r="100" spans="2:19" x14ac:dyDescent="0.25">
      <c r="B100" s="21"/>
      <c r="C100" s="21"/>
      <c r="D100" s="21"/>
      <c r="E100" s="21" t="s">
        <v>22</v>
      </c>
      <c r="F100" s="21"/>
      <c r="G100" s="21"/>
      <c r="H100" s="21" t="s">
        <v>2272</v>
      </c>
      <c r="I100" s="22">
        <f>(COUNTIFS('MSME policies catalogue'!M6:M2000, "*Intervention*",'MSME policies catalogue'!D6:D2000, Dashboard!N38))/COUNTIFS('MSME policies catalogue'!D6:D2000, Dashboard!N38, 'MSME policies catalogue'!M6:M2000,"&lt;&gt;""")</f>
        <v>0.54471544715447151</v>
      </c>
      <c r="J100" s="22">
        <f>COUNTIF('MSME policies catalogue'!M6:M248, "*Intervention*")/(Codes!A1)</f>
        <v>0.55555555555555558</v>
      </c>
      <c r="K100" s="21"/>
      <c r="L100" s="21" t="s">
        <v>2272</v>
      </c>
      <c r="M100" s="22">
        <f>(COUNTIFS('MSME policies catalogue'!M6:M2000, "*Intervention*", 'MSME policies catalogue'!T6:T2000, "Yes"))/(COUNTIFS('MSME policies catalogue'!M6:M2000,"&lt;&gt;""", 'MSME policies catalogue'!T6:T2000, "Yes" ))</f>
        <v>0.7142857142857143</v>
      </c>
      <c r="N100" s="22">
        <f>COUNTIF('MSME policies catalogue'!M6:M248, "*Intervention*")/(COUNTIF('MSME policies catalogue'!Y6:Y248, "&lt;&gt;"""))</f>
        <v>0.55555555555555558</v>
      </c>
      <c r="O100" s="21"/>
      <c r="P100" s="21" t="s">
        <v>2272</v>
      </c>
      <c r="Q100" s="22">
        <f>(COUNTIFS('MSME policies catalogue'!M6:M2000, "*Intervention*", 'MSME policies catalogue'!J6:J2000, "Yes"))/(COUNTIFS('MSME policies catalogue'!M6:M2000,"&lt;&gt;""",'MSME policies catalogue'!J6:J2000, "&lt;&gt;Unsure",  'MSME policies catalogue'!J6:J2000, "Yes"))</f>
        <v>0.65048543689320393</v>
      </c>
      <c r="R100" s="22">
        <f>COUNTIF('MSME policies catalogue'!M6:M248, "*Intervention*")/(Codes!A1)</f>
        <v>0.55555555555555558</v>
      </c>
      <c r="S100" s="21"/>
    </row>
    <row r="101" spans="2:19" x14ac:dyDescent="0.25">
      <c r="B101" s="21"/>
      <c r="C101" s="21"/>
      <c r="D101" s="21"/>
      <c r="E101" s="21"/>
      <c r="F101" s="21"/>
      <c r="G101" s="21"/>
      <c r="H101" s="21"/>
      <c r="I101" s="21"/>
      <c r="J101" s="21"/>
      <c r="K101" s="21"/>
      <c r="L101" s="21"/>
      <c r="M101" s="21"/>
      <c r="N101" s="21"/>
      <c r="O101" s="21"/>
      <c r="P101" s="21"/>
      <c r="Q101" s="21"/>
      <c r="R101" s="21"/>
      <c r="S101" s="21"/>
    </row>
    <row r="102" spans="2:19" x14ac:dyDescent="0.25">
      <c r="B102" s="21"/>
      <c r="C102" s="21"/>
      <c r="D102" s="21"/>
      <c r="E102" s="21"/>
      <c r="F102" s="21"/>
      <c r="G102" s="21"/>
      <c r="H102" s="21"/>
      <c r="I102" s="21"/>
      <c r="J102" s="21"/>
      <c r="K102" s="21"/>
      <c r="L102" s="21"/>
      <c r="M102" s="21"/>
      <c r="N102" s="21"/>
      <c r="O102" s="21"/>
      <c r="P102" s="21"/>
      <c r="Q102" s="21"/>
      <c r="R102" s="21"/>
      <c r="S102" s="21"/>
    </row>
    <row r="104" spans="2:19" x14ac:dyDescent="0.25">
      <c r="G104" s="19"/>
    </row>
    <row r="105" spans="2:19" x14ac:dyDescent="0.25">
      <c r="G105" s="19"/>
    </row>
    <row r="119" spans="4:6" x14ac:dyDescent="0.25">
      <c r="D119" s="19"/>
      <c r="E119" s="19"/>
      <c r="F119" s="19"/>
    </row>
    <row r="120" spans="4:6" x14ac:dyDescent="0.25">
      <c r="D120" s="19"/>
      <c r="E120" s="19"/>
      <c r="F120" s="19"/>
    </row>
    <row r="136" spans="4:6" x14ac:dyDescent="0.25">
      <c r="D136" s="19"/>
      <c r="E136" s="19"/>
      <c r="F136" s="19"/>
    </row>
    <row r="137" spans="4:6" x14ac:dyDescent="0.25">
      <c r="D137" s="19"/>
      <c r="E137" s="19"/>
      <c r="F137" s="19"/>
    </row>
    <row r="138" spans="4:6" x14ac:dyDescent="0.25">
      <c r="D138" s="19"/>
      <c r="E138" s="19"/>
      <c r="F138" s="19"/>
    </row>
    <row r="139" spans="4:6" x14ac:dyDescent="0.25">
      <c r="D139" t="s">
        <v>190</v>
      </c>
      <c r="E139" s="13" t="str">
        <f>Dashboard!G208</f>
        <v>Northern Africa</v>
      </c>
      <c r="F139" t="s">
        <v>174</v>
      </c>
    </row>
    <row r="140" spans="4:6" x14ac:dyDescent="0.25">
      <c r="D140" t="s">
        <v>97</v>
      </c>
      <c r="E140" s="15">
        <f>(COUNTIFS('MSME policies catalogue'!N6:N2000, "*Trade/supply chain finance*",'MSME policies catalogue'!C6:C2000, Dashboard!G208))/COUNTIFS('MSME policies catalogue'!C6:C2000, Dashboard!G208, 'MSME policies catalogue'!N6:N2000,"&lt;&gt;No information found")</f>
        <v>0</v>
      </c>
      <c r="F140" s="15">
        <f>(COUNTIF('MSME policies catalogue'!$N$6:$N$2000, "*Trade/supply chain finance*"))/(COUNTIFS('MSME policies catalogue'!$N$6:$N$2000,"&lt;&gt;No specific target sector", 'MSME policies catalogue'!$N$6:$N$2000, "&lt;&gt;No information found",'MSME policies catalogue'!$N$6:$N$2000, "&lt;&gt;"))</f>
        <v>2.9787234042553193E-2</v>
      </c>
    </row>
    <row r="141" spans="4:6" x14ac:dyDescent="0.25">
      <c r="D141" t="s">
        <v>103</v>
      </c>
      <c r="E141" s="15">
        <f>(COUNTIFS('MSME policies catalogue'!N6:N2000, "*Equity investment or incentives*",'MSME policies catalogue'!C6:C2000, Dashboard!G208))/COUNTIFS('MSME policies catalogue'!C6:C2000, Dashboard!G208, 'MSME policies catalogue'!N6:N2000,"&lt;&gt;No information found")</f>
        <v>0.11538461538461539</v>
      </c>
      <c r="F141" s="15">
        <f>(COUNTIF('MSME policies catalogue'!$N$6:$N$2000, "*Deferral/restructuring of payments*"))/(COUNTIFS('MSME policies catalogue'!$N$6:$N$2000,"&lt;&gt;No specific target sector", 'MSME policies catalogue'!$N$6:$N$2000, "&lt;&gt;No information found",'MSME policies catalogue'!$N$6:$N$2000, "&lt;&gt;"))</f>
        <v>3.4042553191489362E-2</v>
      </c>
    </row>
    <row r="142" spans="4:6" x14ac:dyDescent="0.25">
      <c r="D142" t="s">
        <v>109</v>
      </c>
      <c r="E142" s="15">
        <f>(COUNTIFS('MSME policies catalogue'!N6:N2000, "*Deferral/restructuring of payments*",'MSME policies catalogue'!C6:C2000, Dashboard!G208))/COUNTIFS('MSME policies catalogue'!C6:C2000, Dashboard!G208, 'MSME policies catalogue'!N6:N2000,"&lt;&gt;No information found")</f>
        <v>0</v>
      </c>
      <c r="F142" s="15">
        <f>(COUNTIF('MSME policies catalogue'!$N$6:$N$2000, "*MSME procurement*"))/(COUNTIFS('MSME policies catalogue'!$N$6:$N$2000,"&lt;&gt;No specific target sector", 'MSME policies catalogue'!$N$6:$N$2000, "&lt;&gt;No information found",'MSME policies catalogue'!$N$6:$N$2000, "&lt;&gt;"))</f>
        <v>4.6808510638297871E-2</v>
      </c>
    </row>
    <row r="143" spans="4:6" x14ac:dyDescent="0.25">
      <c r="D143" t="s">
        <v>115</v>
      </c>
      <c r="E143" s="15">
        <f>(COUNTIFS('MSME policies catalogue'!N6:N2000, "*MSME procurement*",'MSME policies catalogue'!C6:C2000, Dashboard!G208))/COUNTIFS('MSME policies catalogue'!C6:C2000, Dashboard!G208, 'MSME policies catalogue'!N6:N2000,"&lt;&gt;No information found")</f>
        <v>0</v>
      </c>
      <c r="F143" s="15">
        <f>(COUNTIF('MSME policies catalogue'!$N$6:$N$248, "*MSME procurement*"))/(COUNTIFS('MSME policies catalogue'!$N$6:$N$2000,"&lt;&gt;No specific target sector", 'MSME policies catalogue'!$N$6:$N$2000, "&lt;&gt;No information found",'MSME policies catalogue'!$N$6:$N$2000, "&lt;&gt;"))</f>
        <v>4.6808510638297871E-2</v>
      </c>
    </row>
    <row r="144" spans="4:6" x14ac:dyDescent="0.25">
      <c r="D144" t="s">
        <v>91</v>
      </c>
      <c r="E144" s="15">
        <f>(COUNTIFS('MSME policies catalogue'!N6:N2000, "*Early-stage finance*",'MSME policies catalogue'!C6:C2000, Dashboard!G208))/COUNTIFS('MSME policies catalogue'!C6:C2000, Dashboard!G208, 'MSME policies catalogue'!N6:N2000,"&lt;&gt;No information found")</f>
        <v>3.8461538461538464E-2</v>
      </c>
      <c r="F144" s="15">
        <f>(COUNTIF('MSME policies catalogue'!$N$6:$N$248, "*Early-stage finance*"))/(COUNTIFS('MSME policies catalogue'!$N$6:$N$2000,"&lt;&gt;No specific target sector", 'MSME policies catalogue'!$N$6:$N$2000, "&lt;&gt;No information found",'MSME policies catalogue'!$N$6:$N$2000, "&lt;&gt;"))</f>
        <v>9.7872340425531917E-2</v>
      </c>
    </row>
    <row r="145" spans="4:6" x14ac:dyDescent="0.25">
      <c r="D145" t="s">
        <v>85</v>
      </c>
      <c r="E145" s="15">
        <f>(COUNTIFS('MSME policies catalogue'!N6:N2000, "*Grants and subsidies*",'MSME policies catalogue'!C6:C2000, Dashboard!G208))/COUNTIFS('MSME policies catalogue'!C6:C2000, Dashboard!G208, 'MSME policies catalogue'!N6:N2000,"&lt;&gt;No information found")</f>
        <v>0.11538461538461539</v>
      </c>
      <c r="F145" s="15">
        <f>(COUNTIF('MSME policies catalogue'!$N$6:$N$248, "*Grants and subsidies*"))/(COUNTIFS('MSME policies catalogue'!$N$6:$N$2000,"&lt;&gt;No specific target sector", 'MSME policies catalogue'!$N$6:$N$2000, "&lt;&gt;No information found",'MSME policies catalogue'!$N$6:$N$2000, "&lt;&gt;"))</f>
        <v>0.20425531914893616</v>
      </c>
    </row>
    <row r="146" spans="4:6" x14ac:dyDescent="0.25">
      <c r="D146" t="s">
        <v>73</v>
      </c>
      <c r="E146" s="15">
        <f>(COUNTIFS('MSME policies catalogue'!N6:N2000, "*Credit guarantee*",'MSME policies catalogue'!C6:C2000, Dashboard!G208))/COUNTIFS('MSME policies catalogue'!C6:C2000, Dashboard!G208, 'MSME policies catalogue'!N6:N2000,"&lt;&gt;No information found")</f>
        <v>0.42307692307692307</v>
      </c>
      <c r="F146" s="15">
        <f>(COUNTIF('MSME policies catalogue'!$N$6:$N$248, "*Credit guarantee*"))/(COUNTIFS('MSME policies catalogue'!$N$6:$N$2000,"&lt;&gt;No specific target sector", 'MSME policies catalogue'!$N$6:$N$2000, "&lt;&gt;No information found",'MSME policies catalogue'!$N$6:$N$2000, "&lt;&gt;"))</f>
        <v>0.2978723404255319</v>
      </c>
    </row>
    <row r="147" spans="4:6" x14ac:dyDescent="0.25">
      <c r="D147" t="s">
        <v>79</v>
      </c>
      <c r="E147" s="15">
        <f>(COUNTIFS('MSME policies catalogue'!N6:N2000, "*Direct lending*",'MSME policies catalogue'!C6:C2000, Dashboard!G208))/COUNTIFS('MSME policies catalogue'!C6:C2000, Dashboard!G208, 'MSME policies catalogue'!N6:N2000,"&lt;&gt;No information found")</f>
        <v>0.30769230769230771</v>
      </c>
      <c r="F147" s="15">
        <f>(COUNTIF('MSME policies catalogue'!$N$6:$N$248, "*Direct lending*"))/(COUNTIFS('MSME policies catalogue'!$N$6:$N$2000,"&lt;&gt;No specific target sector", 'MSME policies catalogue'!$N$6:$N$2000, "&lt;&gt;No information found",'MSME policies catalogue'!$N$6:$N$2000, "&lt;&gt;"))</f>
        <v>0.33617021276595743</v>
      </c>
    </row>
    <row r="148" spans="4:6" x14ac:dyDescent="0.25">
      <c r="E148" s="15"/>
      <c r="F148" s="15"/>
    </row>
    <row r="154" spans="4:6" x14ac:dyDescent="0.25">
      <c r="E154" t="s">
        <v>178</v>
      </c>
    </row>
    <row r="155" spans="4:6" x14ac:dyDescent="0.25">
      <c r="D155" t="s">
        <v>190</v>
      </c>
      <c r="E155" s="13" t="str">
        <f>Dashboard!O208</f>
        <v>Lower-middle income</v>
      </c>
      <c r="F155" t="s">
        <v>183</v>
      </c>
    </row>
    <row r="156" spans="4:6" x14ac:dyDescent="0.25">
      <c r="D156" t="s">
        <v>97</v>
      </c>
      <c r="E156" s="15">
        <f>(COUNTIFS('MSME policies catalogue'!N6:N2000, "*Trade/supply chain finance*",'MSME policies catalogue'!D6:D2000, Dashboard!O208 ))/COUNTIFS('MSME policies catalogue'!D6:D2000, Dashboard!O208, 'MSME policies catalogue'!N6:N2000,"&lt;&gt;No information found")</f>
        <v>2.5000000000000001E-2</v>
      </c>
      <c r="F156" s="15">
        <f>(COUNTIF('MSME policies catalogue'!$N$6:$N$2000, "*Trade/supply chain finance*"))/(COUNTIFS('MSME policies catalogue'!$N$6:$N$2000,"&lt;&gt;No specific target sector", 'MSME policies catalogue'!$N$6:$N$2000, "&lt;&gt;No information found",'MSME policies catalogue'!$N$6:$N$2000, "&lt;&gt;"))</f>
        <v>2.9787234042553193E-2</v>
      </c>
    </row>
    <row r="157" spans="4:6" x14ac:dyDescent="0.25">
      <c r="D157" t="s">
        <v>103</v>
      </c>
      <c r="E157" s="15">
        <f>(COUNTIFS('MSME policies catalogue'!N6:N2000, "*Equity investment or incentives*",'MSME policies catalogue'!D6:D2000, Dashboard!O208 ))/COUNTIFS('MSME policies catalogue'!D6:D2000, Dashboard!O208, 'MSME policies catalogue'!N6:N2000,"&lt;&gt;No information found")</f>
        <v>6.6666666666666666E-2</v>
      </c>
      <c r="F157" s="15">
        <f>(COUNTIF('MSME policies catalogue'!$N$6:$N$2000, "*Deferral/restructuring of payments*"))/(COUNTIFS('MSME policies catalogue'!$N$6:$N$2000,"&lt;&gt;No specific target sector", 'MSME policies catalogue'!$N$6:$N$2000, "&lt;&gt;No information found",'MSME policies catalogue'!$N$6:$N$2000, "&lt;&gt;"))</f>
        <v>3.4042553191489362E-2</v>
      </c>
    </row>
    <row r="158" spans="4:6" x14ac:dyDescent="0.25">
      <c r="D158" t="s">
        <v>109</v>
      </c>
      <c r="E158" s="15">
        <f>(COUNTIFS('MSME policies catalogue'!N6:N2000, "*Deferral/restructuring of payments*",'MSME policies catalogue'!D6:D2000, Dashboard!O208 ))/COUNTIFS('MSME policies catalogue'!D6:D2000, Dashboard!O208, 'MSME policies catalogue'!N6:N2000,"&lt;&gt;No information found")</f>
        <v>1.6666666666666666E-2</v>
      </c>
      <c r="F158" s="15">
        <f>(COUNTIF('MSME policies catalogue'!$N$6:$N$2000, "*MSME procurement*"))/(COUNTIFS('MSME policies catalogue'!$N$6:$N$2000,"&lt;&gt;No specific target sector", 'MSME policies catalogue'!$N$6:$N$2000, "&lt;&gt;No information found",'MSME policies catalogue'!$N$6:$N$2000, "&lt;&gt;"))</f>
        <v>4.6808510638297871E-2</v>
      </c>
    </row>
    <row r="159" spans="4:6" x14ac:dyDescent="0.25">
      <c r="D159" t="s">
        <v>115</v>
      </c>
      <c r="E159" s="15">
        <f>(COUNTIFS('MSME policies catalogue'!N6:N2000, "*MSME procurement*",'MSME policies catalogue'!D6:D2000, Dashboard!O208 ))/COUNTIFS('MSME policies catalogue'!D6:D2000, Dashboard!O208, 'MSME policies catalogue'!N6:N2000,"&lt;&gt;No information found")</f>
        <v>0.05</v>
      </c>
      <c r="F159" s="15">
        <f>(COUNTIF('MSME policies catalogue'!$N$6:$N$248, "*MSME procurement*"))/(COUNTIFS('MSME policies catalogue'!$N$6:$N$2000,"&lt;&gt;No specific target sector", 'MSME policies catalogue'!$N$6:$N$2000, "&lt;&gt;No information found",'MSME policies catalogue'!$N$6:$N$2000, "&lt;&gt;"))</f>
        <v>4.6808510638297871E-2</v>
      </c>
    </row>
    <row r="160" spans="4:6" x14ac:dyDescent="0.25">
      <c r="D160" t="s">
        <v>91</v>
      </c>
      <c r="E160" s="15">
        <f>(COUNTIFS('MSME policies catalogue'!N6:N2000, "*Early-stage finance*",'MSME policies catalogue'!D6:D2000, Dashboard!O208 ))/COUNTIFS('MSME policies catalogue'!D6:D2000, Dashboard!O208, 'MSME policies catalogue'!N6:N2000,"&lt;&gt;No information found")</f>
        <v>8.3333333333333329E-2</v>
      </c>
      <c r="F160" s="15">
        <f>(COUNTIF('MSME policies catalogue'!$N$6:$N$248, "*Early-stage finance*"))/(COUNTIFS('MSME policies catalogue'!$N$6:$N$2000,"&lt;&gt;No specific target sector", 'MSME policies catalogue'!$N$6:$N$2000, "&lt;&gt;No information found",'MSME policies catalogue'!$N$6:$N$2000, "&lt;&gt;"))</f>
        <v>9.7872340425531917E-2</v>
      </c>
    </row>
    <row r="161" spans="4:7" x14ac:dyDescent="0.25">
      <c r="D161" t="s">
        <v>85</v>
      </c>
      <c r="E161" s="15">
        <f>(COUNTIFS('MSME policies catalogue'!N6:N2000, "*Grants and subsidies*",'MSME policies catalogue'!D6:D2000, Dashboard!O208 ))/COUNTIFS('MSME policies catalogue'!D6:D2000, Dashboard!O208, 'MSME policies catalogue'!N6:N2000,"&lt;&gt;No information found")</f>
        <v>0.17499999999999999</v>
      </c>
      <c r="F161" s="15">
        <f>(COUNTIF('MSME policies catalogue'!$N$6:$N$248, "*Grants and subsidies*"))/(COUNTIFS('MSME policies catalogue'!$N$6:$N$2000,"&lt;&gt;No specific target sector", 'MSME policies catalogue'!$N$6:$N$2000, "&lt;&gt;No information found",'MSME policies catalogue'!$N$6:$N$2000, "&lt;&gt;"))</f>
        <v>0.20425531914893616</v>
      </c>
    </row>
    <row r="162" spans="4:7" x14ac:dyDescent="0.25">
      <c r="D162" t="s">
        <v>73</v>
      </c>
      <c r="E162" s="15">
        <f>(COUNTIFS('MSME policies catalogue'!N6:N2000, "*Credit guarantee*",'MSME policies catalogue'!D6:D2000, Dashboard!O208 ))/COUNTIFS('MSME policies catalogue'!D6:D2000, Dashboard!O208, 'MSME policies catalogue'!N6:N2000,"&lt;&gt;No information found")</f>
        <v>0.375</v>
      </c>
      <c r="F162" s="15">
        <f>(COUNTIF('MSME policies catalogue'!$N$6:$N$248, "*Credit guarantee*"))/(COUNTIFS('MSME policies catalogue'!$N$6:$N$2000,"&lt;&gt;No specific target sector", 'MSME policies catalogue'!$N$6:$N$2000, "&lt;&gt;No information found",'MSME policies catalogue'!$N$6:$N$2000, "&lt;&gt;"))</f>
        <v>0.2978723404255319</v>
      </c>
    </row>
    <row r="163" spans="4:7" x14ac:dyDescent="0.25">
      <c r="D163" t="s">
        <v>79</v>
      </c>
      <c r="E163" s="15">
        <f>(COUNTIFS('MSME policies catalogue'!N6:N2000, "*Direct lending*",'MSME policies catalogue'!D6:D2000, Dashboard!O208 ))/COUNTIFS('MSME policies catalogue'!D6:D2000, Dashboard!O208, 'MSME policies catalogue'!N6:N2000,"&lt;&gt;No information found")</f>
        <v>0.27500000000000002</v>
      </c>
      <c r="F163" s="15">
        <f>(COUNTIF('MSME policies catalogue'!$N$6:$N$248, "*Direct lending*"))/(COUNTIFS('MSME policies catalogue'!$N$6:$N$2000,"&lt;&gt;No specific target sector", 'MSME policies catalogue'!$N$6:$N$2000, "&lt;&gt;No information found",'MSME policies catalogue'!$N$6:$N$2000, "&lt;&gt;"))</f>
        <v>0.33617021276595743</v>
      </c>
    </row>
    <row r="165" spans="4:7" x14ac:dyDescent="0.25">
      <c r="E165" s="15"/>
      <c r="F165" s="15"/>
    </row>
    <row r="176" spans="4:7" x14ac:dyDescent="0.25">
      <c r="D176" t="s">
        <v>190</v>
      </c>
      <c r="E176" t="s">
        <v>175</v>
      </c>
      <c r="F176" t="s">
        <v>176</v>
      </c>
      <c r="G176" t="s">
        <v>177</v>
      </c>
    </row>
    <row r="177" spans="4:7" x14ac:dyDescent="0.25">
      <c r="D177" t="s">
        <v>97</v>
      </c>
      <c r="E177" s="15">
        <f>(COUNTIFS('MSME policies catalogue'!N6:N2000, "*Trade/supply chain finance*", 'MSME policies catalogue'!T6:T2000, "Yes"))/(COUNTIFS('MSME policies catalogue'!N6:N2000,"&lt;&gt;No specific target sector",'MSME policies catalogue'!N6:N2000, "&lt;&gt;No information found", 'MSME policies catalogue'!T6:T2000, "Yes" ))</f>
        <v>0</v>
      </c>
      <c r="F177" s="15">
        <f>(COUNTIFS('MSME policies catalogue'!N6:N2000, "*Trade/supply chain finance*", 'MSME policies catalogue'!J6:J2000, "Yes"))/(COUNTIFS('MSME policies catalogue'!N6:N2000,"&lt;&gt;No information found",'MSME policies catalogue'!N6:N2000,"&lt;&gt;No specific target sector",'MSME policies catalogue'!J6:J2000, "&lt;&gt;Unsure",'MSME policies catalogue'!J6:J2000, "Yes" ))</f>
        <v>2.9411764705882353E-2</v>
      </c>
      <c r="G177" s="15">
        <f>(COUNTIF('MSME policies catalogue'!$N$6:$N$2000, "*Trade/supply chain finance*"))/(COUNTIFS('MSME policies catalogue'!$N$6:$N$2000,"&lt;&gt;No specific target sector", 'MSME policies catalogue'!$N$6:$N$2000, "&lt;&gt;No information found",'MSME policies catalogue'!$N$6:$N$2000, "&lt;&gt;"))</f>
        <v>2.9787234042553193E-2</v>
      </c>
    </row>
    <row r="178" spans="4:7" x14ac:dyDescent="0.25">
      <c r="D178" t="s">
        <v>103</v>
      </c>
      <c r="E178" s="15">
        <f>(COUNTIFS('MSME policies catalogue'!N6:N2000, "*Equity investment or incentives*", 'MSME policies catalogue'!T6:T2000, "Yes"))/(COUNTIFS('MSME policies catalogue'!N6:N2000,"&lt;&gt;No specific target sector",'MSME policies catalogue'!N6:N2000, "&lt;&gt;No information found", 'MSME policies catalogue'!T6:T2000, "Yes" ))</f>
        <v>4.878048780487805E-2</v>
      </c>
      <c r="F178" s="15">
        <f>(COUNTIFS('MSME policies catalogue'!N6:N2000, "*Equity investment or incentives*", 'MSME policies catalogue'!J6:J2000, "Yes"))/(COUNTIFS('MSME policies catalogue'!N6:N2000,"&lt;&gt;No information found",'MSME policies catalogue'!N6:N2000,"&lt;&gt;No specific target sector",'MSME policies catalogue'!J6:J2000, "&lt;&gt;Unsure",'MSME policies catalogue'!J6:J2000, "Yes" ))</f>
        <v>8.8235294117647065E-2</v>
      </c>
      <c r="G178" s="15">
        <f>(COUNTIF('MSME policies catalogue'!$N$6:$N$2000, "*Deferral/restructuring of payments*"))/(COUNTIFS('MSME policies catalogue'!$N$6:$N$2000,"&lt;&gt;No specific target sector", 'MSME policies catalogue'!$N$6:$N$2000, "&lt;&gt;No information found",'MSME policies catalogue'!$N$6:$N$2000, "&lt;&gt;"))</f>
        <v>3.4042553191489362E-2</v>
      </c>
    </row>
    <row r="179" spans="4:7" x14ac:dyDescent="0.25">
      <c r="D179" t="s">
        <v>109</v>
      </c>
      <c r="E179" s="15">
        <f>(COUNTIFS('MSME policies catalogue'!N6:N2000, "*Deferral/restructuring of payments*", 'MSME policies catalogue'!T6:T2000, "Yes"))/(COUNTIFS('MSME policies catalogue'!N6:N2000,"&lt;&gt;No specific target sector",'MSME policies catalogue'!N6:N2000, "&lt;&gt;No information found", 'MSME policies catalogue'!T6:T2000, "Yes" ))</f>
        <v>0.14634146341463414</v>
      </c>
      <c r="F179" s="15">
        <f>(COUNTIFS('MSME policies catalogue'!N6:N2000, "*Deferral/restructuring of payments*", 'MSME policies catalogue'!J6:J2000, "Yes"))/(COUNTIFS('MSME policies catalogue'!N6:N2000,"&lt;&gt;No information found",'MSME policies catalogue'!N6:N2000,"&lt;&gt;No specific target sector",'MSME policies catalogue'!J6:J2000, "&lt;&gt;Unsure",'MSME policies catalogue'!J6:J2000, "Yes" ))</f>
        <v>1.9607843137254902E-2</v>
      </c>
      <c r="G179" s="15">
        <f>(COUNTIF('MSME policies catalogue'!$N$6:$N$2000, "*MSME procurement*"))/(COUNTIFS('MSME policies catalogue'!$N$6:$N$2000,"&lt;&gt;No specific target sector", 'MSME policies catalogue'!$N$6:$N$2000, "&lt;&gt;No information found",'MSME policies catalogue'!$N$6:$N$2000, "&lt;&gt;"))</f>
        <v>4.6808510638297871E-2</v>
      </c>
    </row>
    <row r="180" spans="4:7" x14ac:dyDescent="0.25">
      <c r="D180" t="s">
        <v>115</v>
      </c>
      <c r="E180" s="15">
        <f>(COUNTIFS('MSME policies catalogue'!N6:N2000, "*MSME procurement*", 'MSME policies catalogue'!T6:T2000, "Yes"))/(COUNTIFS('MSME policies catalogue'!N6:N2000,"&lt;&gt;No specific target sector",'MSME policies catalogue'!N6:N2000, "&lt;&gt;No information found", 'MSME policies catalogue'!T6:T2000, "Yes" ))</f>
        <v>4.878048780487805E-2</v>
      </c>
      <c r="F180" s="15">
        <f>(COUNTIFS('MSME policies catalogue'!N6:N2000, "*MSME procurement*",'MSME policies catalogue'!J6:J2000, "Yes"))/(COUNTIFS('MSME policies catalogue'!N6:N2000,"&lt;&gt;No information found",'MSME policies catalogue'!N6:N2000,"&lt;&gt;No specific target sector",'MSME policies catalogue'!J6:J2000, "&lt;&gt;Unsure",'MSME policies catalogue'!J6:J2000, "Yes" ))</f>
        <v>3.9215686274509803E-2</v>
      </c>
      <c r="G180" s="15">
        <f>(COUNTIF('MSME policies catalogue'!$N$6:$N$248, "*MSME procurement*"))/(COUNTIFS('MSME policies catalogue'!$N$6:$N$2000,"&lt;&gt;No specific target sector", 'MSME policies catalogue'!$N$6:$N$2000, "&lt;&gt;No information found",'MSME policies catalogue'!$N$6:$N$2000, "&lt;&gt;"))</f>
        <v>4.6808510638297871E-2</v>
      </c>
    </row>
    <row r="181" spans="4:7" x14ac:dyDescent="0.25">
      <c r="D181" t="s">
        <v>91</v>
      </c>
      <c r="E181" s="15">
        <f>(COUNTIFS('MSME policies catalogue'!N6:N2000, "*Early-stage finance*",'MSME policies catalogue'!T6:T2000, "Yes"))/(COUNTIFS('MSME policies catalogue'!N6:N2000,"&lt;&gt;No specific target sector",'MSME policies catalogue'!N6:N2000, "&lt;&gt;No information found", 'MSME policies catalogue'!T6:T2000, "Yes" ))</f>
        <v>0</v>
      </c>
      <c r="F181" s="15">
        <f>(COUNTIFS('MSME policies catalogue'!N6:N2000, "*Early-stage finance*",'MSME policies catalogue'!J6:J2000, "Yes"))/(COUNTIFS('MSME policies catalogue'!N6:N2000,"&lt;&gt;No information found",'MSME policies catalogue'!N6:N2000,"&lt;&gt;No specific target sector",'MSME policies catalogue'!J6:J2000, "&lt;&gt;Unsure",'MSME policies catalogue'!J6:J2000, "Yes" ))</f>
        <v>0.11764705882352941</v>
      </c>
      <c r="G181" s="15">
        <f>(COUNTIF('MSME policies catalogue'!$N$6:$N$248, "*Early-stage finance*"))/(COUNTIFS('MSME policies catalogue'!$N$6:$N$2000,"&lt;&gt;No specific target sector", 'MSME policies catalogue'!$N$6:$N$2000, "&lt;&gt;No information found",'MSME policies catalogue'!$N$6:$N$2000, "&lt;&gt;"))</f>
        <v>9.7872340425531917E-2</v>
      </c>
    </row>
    <row r="182" spans="4:7" x14ac:dyDescent="0.25">
      <c r="D182" t="s">
        <v>85</v>
      </c>
      <c r="E182" s="15">
        <f>(COUNTIFS('MSME policies catalogue'!N6:N2000, "*Grants and subsidies*", 'MSME policies catalogue'!T6:T2000, "Yes"))/(COUNTIFS('MSME policies catalogue'!N6:N2000,"&lt;&gt;No specific target sector",'MSME policies catalogue'!N6:N2000, "&lt;&gt;No information found", 'MSME policies catalogue'!T6:T2000, "Yes" ))</f>
        <v>0.31707317073170732</v>
      </c>
      <c r="F182" s="15">
        <f>(COUNTIFS('MSME policies catalogue'!N6:N2000, "*Grants and subsidies*",'MSME policies catalogue'!J6:J2000, "Yes"))/(COUNTIFS('MSME policies catalogue'!N6:N2000,"&lt;&gt;No information found",'MSME policies catalogue'!N6:N2000,"&lt;&gt;No specific target sector",'MSME policies catalogue'!J6:J2000, "&lt;&gt;Unsure",'MSME policies catalogue'!J6:J2000, "Yes" ))</f>
        <v>0.23529411764705882</v>
      </c>
      <c r="G182" s="15">
        <f>(COUNTIF('MSME policies catalogue'!$N$6:$N$248, "*Grants and subsidies*"))/(COUNTIFS('MSME policies catalogue'!$N$6:$N$2000,"&lt;&gt;No specific target sector", 'MSME policies catalogue'!$N$6:$N$2000, "&lt;&gt;No information found",'MSME policies catalogue'!$N$6:$N$2000, "&lt;&gt;"))</f>
        <v>0.20425531914893616</v>
      </c>
    </row>
    <row r="183" spans="4:7" x14ac:dyDescent="0.25">
      <c r="D183" t="s">
        <v>73</v>
      </c>
      <c r="E183" s="15">
        <f>(COUNTIFS('MSME policies catalogue'!N6:N2000, "*Credit guarantee*", 'MSME policies catalogue'!T6:T2000, "Yes"))/(COUNTIFS('MSME policies catalogue'!N6:N2000,"&lt;&gt;No specific target sector",'MSME policies catalogue'!N6:N2000, "&lt;&gt;No information found", 'MSME policies catalogue'!T6:T2000, "Yes" ))</f>
        <v>0.26829268292682928</v>
      </c>
      <c r="F183" s="15">
        <f>(COUNTIFS('MSME policies catalogue'!N6:N2000, "*Credit guarantee*", 'MSME policies catalogue'!J6:J2000, "Yes"))/(COUNTIFS('MSME policies catalogue'!N6:N2000,"&lt;&gt;No information found",'MSME policies catalogue'!N6:N2000,"&lt;&gt;No specific target sector",'MSME policies catalogue'!J6:J2000, "&lt;&gt;Unsure",'MSME policies catalogue'!J6:J2000, "Yes" ))</f>
        <v>0.27450980392156865</v>
      </c>
      <c r="G183" s="15">
        <f>(COUNTIF('MSME policies catalogue'!$N$6:$N$248, "*Credit guarantee*"))/(COUNTIFS('MSME policies catalogue'!$N$6:$N$2000,"&lt;&gt;No specific target sector", 'MSME policies catalogue'!$N$6:$N$2000, "&lt;&gt;No information found",'MSME policies catalogue'!$N$6:$N$2000, "&lt;&gt;"))</f>
        <v>0.2978723404255319</v>
      </c>
    </row>
    <row r="184" spans="4:7" x14ac:dyDescent="0.25">
      <c r="D184" t="s">
        <v>79</v>
      </c>
      <c r="E184" s="15">
        <f>(COUNTIFS('MSME policies catalogue'!N6:N2000, "*Direct lending*", 'MSME policies catalogue'!T6:T2000, "Yes"))/(COUNTIFS('MSME policies catalogue'!N6:N2000,"&lt;&gt;No specific target sector",'MSME policies catalogue'!N6:N2000, "&lt;&gt;No information found", 'MSME policies catalogue'!T6:T2000, "Yes" ))</f>
        <v>0.36585365853658536</v>
      </c>
      <c r="F184" s="15">
        <f>(COUNTIFS('MSME policies catalogue'!N6:N2000, "*Direct lending*",'MSME policies catalogue'!J6:J2000, "Yes"))/(COUNTIFS('MSME policies catalogue'!N6:N2000,"&lt;&gt;No information found",'MSME policies catalogue'!N6:N2000,"&lt;&gt;No specific target sector",'MSME policies catalogue'!J6:J2000, "&lt;&gt;Unsure",'MSME policies catalogue'!J6:J2000, "Yes" ))</f>
        <v>0.28431372549019607</v>
      </c>
      <c r="G184" s="15">
        <f>(COUNTIF('MSME policies catalogue'!$N$6:$N$248, "*Direct lending*"))/(COUNTIFS('MSME policies catalogue'!$N$6:$N$2000,"&lt;&gt;No specific target sector", 'MSME policies catalogue'!$N$6:$N$2000, "&lt;&gt;No information found",'MSME policies catalogue'!$N$6:$N$2000, "&lt;&gt;"))</f>
        <v>0.33617021276595743</v>
      </c>
    </row>
    <row r="203" spans="4:6" x14ac:dyDescent="0.25">
      <c r="D203" t="s">
        <v>191</v>
      </c>
      <c r="E203" t="str">
        <f>Dashboard!$G$313</f>
        <v>Northern Africa</v>
      </c>
      <c r="F203" t="s">
        <v>174</v>
      </c>
    </row>
    <row r="204" spans="4:6" x14ac:dyDescent="0.25">
      <c r="D204" s="16" t="s">
        <v>192</v>
      </c>
      <c r="E204" s="15">
        <f>(COUNTIFS('MSME policies catalogue'!V6:V2000, "*Yes*",'MSME policies catalogue'!C6:C2000, Dashboard!$G$313 ))/COUNTIFS('MSME policies catalogue'!C6:C2000, Dashboard!$G$313, 'MSME policies catalogue'!V6:V2000,"&lt;&gt;No information available")</f>
        <v>0.47368421052631576</v>
      </c>
      <c r="F204" s="15">
        <f>(COUNTIF('MSME policies catalogue'!$V$6:$V$2000, "Yes"))/(COUNTIFS('MSME policies catalogue'!$V$6:$V$2000, "&lt;&gt;No information available",'MSME policies catalogue'!$V$6:$V$2000, "&lt;&gt;"))</f>
        <v>0.38650306748466257</v>
      </c>
    </row>
    <row r="205" spans="4:6" x14ac:dyDescent="0.25">
      <c r="D205" s="16" t="s">
        <v>193</v>
      </c>
      <c r="E205" s="15">
        <f>(COUNTIFS('MSME policies catalogue'!Y6:Y2000, "*Yes*",'MSME policies catalogue'!C6:C2000, Dashboard!$G$313 ))/COUNTIFS('MSME policies catalogue'!C6:C2000, Dashboard!$G$313, 'MSME policies catalogue'!Y6:Y2000,"&lt;&gt;No information available")</f>
        <v>0.7</v>
      </c>
      <c r="F205" s="15">
        <f>(COUNTIF('MSME policies catalogue'!$Y$6:$Y$2000, "Yes"))/(COUNTIFS('MSME policies catalogue'!$Y$6:$Y$2000, "&lt;&gt;No information available",'MSME policies catalogue'!$Y$6:$Y$2000, "&lt;&gt;"))</f>
        <v>0.61290322580645162</v>
      </c>
    </row>
    <row r="212" spans="4:7" x14ac:dyDescent="0.25">
      <c r="D212" t="s">
        <v>191</v>
      </c>
      <c r="E212" t="str">
        <f>Dashboard!$O$313</f>
        <v>Lower-middle income</v>
      </c>
      <c r="F212" t="s">
        <v>183</v>
      </c>
    </row>
    <row r="213" spans="4:7" x14ac:dyDescent="0.25">
      <c r="D213" s="16" t="s">
        <v>192</v>
      </c>
      <c r="E213" s="15">
        <f>(COUNTIFS('MSME policies catalogue'!V6:V2000, "*Yes*",'MSME policies catalogue'!D6:D2000,Dashboard!$O$313 ))/COUNTIFS('MSME policies catalogue'!D6:D2000, Dashboard!$O$313, 'MSME policies catalogue'!V6:V2000,"&lt;&gt;No information available")</f>
        <v>0.4157303370786517</v>
      </c>
      <c r="F213" s="15">
        <f>(COUNTIF('MSME policies catalogue'!$V$6:$V$2000, "Yes"))/(COUNTIFS('MSME policies catalogue'!$V$6:$V$2000, "&lt;&gt;No information available",'MSME policies catalogue'!$V$6:$V$2000, "&lt;&gt;"))</f>
        <v>0.38650306748466257</v>
      </c>
    </row>
    <row r="214" spans="4:7" x14ac:dyDescent="0.25">
      <c r="D214" s="16" t="s">
        <v>193</v>
      </c>
      <c r="E214" s="15">
        <f>(COUNTIFS('MSME policies catalogue'!Y6:Y2000, "*Yes*",'MSME policies catalogue'!D6:D2000,Dashboard!$O$313 ))/COUNTIFS('MSME policies catalogue'!D6:D2000, Dashboard!$O$313, 'MSME policies catalogue'!Y6:Y2000,"&lt;&gt;No information available")</f>
        <v>0.58904109589041098</v>
      </c>
      <c r="F214" s="15">
        <f>(COUNTIF('MSME policies catalogue'!$Y$6:$Y$2000, "Yes"))/(COUNTIFS('MSME policies catalogue'!$Y$6:$Y$2000, "&lt;&gt;No information available",'MSME policies catalogue'!$Y$6:$Y$2000, "&lt;&gt;"))</f>
        <v>0.61290322580645162</v>
      </c>
    </row>
    <row r="220" spans="4:7" x14ac:dyDescent="0.25">
      <c r="D220" t="s">
        <v>191</v>
      </c>
      <c r="E220" t="s">
        <v>175</v>
      </c>
      <c r="F220" t="s">
        <v>176</v>
      </c>
      <c r="G220" t="s">
        <v>177</v>
      </c>
    </row>
    <row r="221" spans="4:7" x14ac:dyDescent="0.25">
      <c r="D221" s="16" t="s">
        <v>192</v>
      </c>
      <c r="E221" s="15">
        <f>(COUNTIFS('MSME policies catalogue'!V6:V2000, "*Yes*", 'MSME policies catalogue'!T6:T2000, "Yes"))/(COUNTIFS('MSME policies catalogue'!V6:V2000,"&lt;&gt;No information available", 'MSME policies catalogue'!T6:T2000, "Yes" ))</f>
        <v>0.30769230769230771</v>
      </c>
      <c r="F221" s="15">
        <f>(COUNTIFS('MSME policies catalogue'!V6:V2000, "*Yes*", 'MSME policies catalogue'!J6:J2000, "Yes"))/(COUNTIFS('MSME policies catalogue'!V6:V2000,"&lt;&gt;No information available",'MSME policies catalogue'!J6:J2000, "&lt;&gt;Unsure", 'MSME policies catalogue'!J6:J2000, "Yes" ))</f>
        <v>0.57692307692307687</v>
      </c>
      <c r="G221" s="15">
        <f>(COUNTIF('MSME policies catalogue'!$V$6:$V$2000, "Yes"))/(COUNTIFS('MSME policies catalogue'!$V$6:$V$2000, "&lt;&gt;No information available",'MSME policies catalogue'!$V$6:$V$2000, "&lt;&gt;"))</f>
        <v>0.38650306748466257</v>
      </c>
    </row>
    <row r="222" spans="4:7" x14ac:dyDescent="0.25">
      <c r="D222" s="16" t="s">
        <v>193</v>
      </c>
      <c r="E222" s="15">
        <f>(COUNTIFS('MSME policies catalogue'!Y6:Y2000, "*Yes*", 'MSME policies catalogue'!T6:T2000, "Yes"))/(COUNTIFS('MSME policies catalogue'!Y6:Y2000,"&lt;&gt;No information available", 'MSME policies catalogue'!T6:T2000, "Yes" ))</f>
        <v>0.35714285714285715</v>
      </c>
      <c r="F222" s="15">
        <f>(COUNTIFS('MSME policies catalogue'!Y6:Y2000, "*Yes*", 'MSME policies catalogue'!J6:J2000, "Yes"))/(COUNTIFS('MSME policies catalogue'!Y6:Y2000,"&lt;&gt;No information available",'MSME policies catalogue'!J6:J2000, "&lt;&gt;Unsure", 'MSME policies catalogue'!J6:J2000, "Yes" ))</f>
        <v>0.76190476190476186</v>
      </c>
      <c r="G222" s="15">
        <f>(COUNTIF('MSME policies catalogue'!$Y$6:$Y$2000, "Yes"))/(COUNTIFS('MSME policies catalogue'!$Y$6:$Y$2000, "&lt;&gt;No information available",'MSME policies catalogue'!$Y$6:$Y$2000, "&lt;&gt;"))</f>
        <v>0.61290322580645162</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7F2D1-6026-45AD-B2EF-D86237B62A39}">
  <dimension ref="A1:J159"/>
  <sheetViews>
    <sheetView topLeftCell="A133" zoomScale="60" zoomScaleNormal="60" workbookViewId="0">
      <selection activeCell="P105" sqref="P105"/>
    </sheetView>
  </sheetViews>
  <sheetFormatPr defaultColWidth="9.140625" defaultRowHeight="15" x14ac:dyDescent="0.25"/>
  <cols>
    <col min="1" max="1" width="12.5703125" customWidth="1"/>
    <col min="2" max="2" width="56.140625" customWidth="1"/>
    <col min="3" max="3" width="16.7109375" customWidth="1"/>
    <col min="4" max="4" width="21" customWidth="1"/>
    <col min="5" max="5" width="22" customWidth="1"/>
    <col min="6" max="6" width="20.5703125" customWidth="1"/>
    <col min="7" max="7" width="19.140625" customWidth="1"/>
    <col min="8" max="8" width="12.5703125" customWidth="1"/>
    <col min="9" max="9" width="14.7109375" customWidth="1"/>
    <col min="10" max="10" width="14.5703125" customWidth="1"/>
  </cols>
  <sheetData>
    <row r="1" spans="1:5" x14ac:dyDescent="0.25">
      <c r="A1">
        <f>COUNTIF('MSME policies catalogue'!A6:A248,"*")</f>
        <v>243</v>
      </c>
      <c r="B1" t="s">
        <v>194</v>
      </c>
      <c r="C1" s="13" t="s">
        <v>22</v>
      </c>
      <c r="D1" s="13" t="s">
        <v>23</v>
      </c>
      <c r="E1" s="13" t="s">
        <v>195</v>
      </c>
    </row>
    <row r="2" spans="1:5" x14ac:dyDescent="0.25">
      <c r="A2">
        <f>COUNTIF('MSME policies catalogue'!$J$6:$J$248,"Yes")</f>
        <v>103</v>
      </c>
      <c r="B2" t="s">
        <v>196</v>
      </c>
      <c r="C2" t="s">
        <v>197</v>
      </c>
      <c r="D2" t="s">
        <v>25</v>
      </c>
      <c r="E2" t="s">
        <v>198</v>
      </c>
    </row>
    <row r="3" spans="1:5" x14ac:dyDescent="0.25">
      <c r="A3">
        <f>COUNTIFS('MSME policies catalogue'!C6:C248,'Drop-down'!A11,'MSME policies catalogue'!J6:J248,'Drop-down'!A7)</f>
        <v>16</v>
      </c>
      <c r="B3" t="s">
        <v>199</v>
      </c>
    </row>
    <row r="4" spans="1:5" x14ac:dyDescent="0.25">
      <c r="A4">
        <f>Codes!A1/'Source for Dashboard'!B56</f>
        <v>4.5</v>
      </c>
      <c r="B4" t="s">
        <v>200</v>
      </c>
    </row>
    <row r="5" spans="1:5" x14ac:dyDescent="0.25">
      <c r="A5">
        <f>COUNTIF('MSME policies catalogue'!C6:C2000,Dashboard!G18)</f>
        <v>63</v>
      </c>
      <c r="B5" t="s">
        <v>201</v>
      </c>
    </row>
    <row r="6" spans="1:5" x14ac:dyDescent="0.25">
      <c r="A6" s="14">
        <f>COUNTIF('MSME policies catalogue'!C6:C2000, Dashboard!G18)/A7</f>
        <v>3.9375</v>
      </c>
      <c r="B6" t="s">
        <v>202</v>
      </c>
    </row>
    <row r="7" spans="1:5" x14ac:dyDescent="0.25">
      <c r="A7">
        <f>COUNTIF('Source for Dashboard'!C2:C55, Dashboard!G18)</f>
        <v>16</v>
      </c>
      <c r="B7" t="s">
        <v>203</v>
      </c>
    </row>
    <row r="8" spans="1:5" x14ac:dyDescent="0.25">
      <c r="A8" s="18">
        <f>COUNTIF('Source for Dashboard'!B2:B55, Codes!E2)</f>
        <v>1</v>
      </c>
      <c r="B8" s="18" t="s">
        <v>204</v>
      </c>
    </row>
    <row r="9" spans="1:5" x14ac:dyDescent="0.25">
      <c r="A9" s="14">
        <f>COUNTIF('MSME policies catalogue'!D6:D2000, Dashboard!H18)</f>
        <v>70</v>
      </c>
      <c r="B9" t="s">
        <v>205</v>
      </c>
    </row>
    <row r="10" spans="1:5" x14ac:dyDescent="0.25">
      <c r="A10" s="14">
        <f>A9/A11</f>
        <v>3.0434782608695654</v>
      </c>
      <c r="B10" t="s">
        <v>206</v>
      </c>
    </row>
    <row r="11" spans="1:5" x14ac:dyDescent="0.25">
      <c r="A11">
        <f>COUNTIF('Source for Dashboard'!G2:G2000, Dashboard!H18)</f>
        <v>23</v>
      </c>
      <c r="B11" t="s">
        <v>207</v>
      </c>
    </row>
    <row r="13" spans="1:5" x14ac:dyDescent="0.25">
      <c r="A13">
        <f>COUNTIF('MSME policies catalogue'!T6:T2000, "Yes")</f>
        <v>42</v>
      </c>
      <c r="B13" t="s">
        <v>208</v>
      </c>
    </row>
    <row r="14" spans="1:5" x14ac:dyDescent="0.25">
      <c r="A14" s="15">
        <f>(COUNTIF('MSME policies catalogue'!T6:T248, "Yes"))/(COUNTIF('MSME policies catalogue'!T6:T248, "&lt;&gt;No information found"))</f>
        <v>0.1728395061728395</v>
      </c>
      <c r="B14" t="s">
        <v>209</v>
      </c>
    </row>
    <row r="15" spans="1:5" x14ac:dyDescent="0.25">
      <c r="A15">
        <f>COUNTIFS('MSME policies catalogue'!C6:C2000,Codes!C2,'MSME policies catalogue'!T6:T2000,'Drop-down'!A7)</f>
        <v>8</v>
      </c>
      <c r="B15" t="s">
        <v>210</v>
      </c>
    </row>
    <row r="16" spans="1:5" x14ac:dyDescent="0.25">
      <c r="A16" s="15">
        <f>(COUNTIFS('MSME policies catalogue'!C6:C248,Codes!C2,'MSME policies catalogue'!T6:T248,'Drop-down'!A7))/((COUNTIFS('MSME policies catalogue'!C6:C248,Codes!C2,'MSME policies catalogue'!T6:T248,"&lt;&gt;No information found")))</f>
        <v>0.12698412698412698</v>
      </c>
      <c r="B16" t="s">
        <v>211</v>
      </c>
    </row>
    <row r="17" spans="1:6" x14ac:dyDescent="0.25">
      <c r="A17">
        <f>COUNTIFS('MSME policies catalogue'!D6:D2000,Codes!D2,'MSME policies catalogue'!T6:T2000,'Drop-down'!A7)</f>
        <v>3</v>
      </c>
      <c r="B17" t="s">
        <v>212</v>
      </c>
    </row>
    <row r="18" spans="1:6" x14ac:dyDescent="0.25">
      <c r="A18" s="15">
        <f>(COUNTIFS('MSME policies catalogue'!D6:D248,Codes!D2,'MSME policies catalogue'!T6:T248,'Drop-down'!A7))/((COUNTIFS('MSME policies catalogue'!D6:D248,Codes!D2,'MSME policies catalogue'!T6:T248,"&lt;&gt;No information found")))</f>
        <v>0.27272727272727271</v>
      </c>
      <c r="B18" t="s">
        <v>213</v>
      </c>
    </row>
    <row r="20" spans="1:6" x14ac:dyDescent="0.25">
      <c r="A20">
        <f>COUNTIF('MSME policies catalogue'!$J$6:$J$2000,"Yes")</f>
        <v>103</v>
      </c>
      <c r="B20" t="s">
        <v>196</v>
      </c>
    </row>
    <row r="21" spans="1:6" x14ac:dyDescent="0.25">
      <c r="A21" s="15">
        <f>(COUNTIF('MSME policies catalogue'!J6:J248, "Yes"))/(COUNTIF('MSME policies catalogue'!J6:J248, "&lt;&gt;Unsure"))</f>
        <v>0.42561983471074383</v>
      </c>
      <c r="B21" t="s">
        <v>214</v>
      </c>
    </row>
    <row r="22" spans="1:6" x14ac:dyDescent="0.25">
      <c r="A22">
        <f>COUNTIFS('MSME policies catalogue'!C6:C2000,Codes!C2,'MSME policies catalogue'!J6:J2000,'Drop-down'!A7)</f>
        <v>27</v>
      </c>
      <c r="B22" t="s">
        <v>215</v>
      </c>
    </row>
    <row r="23" spans="1:6" x14ac:dyDescent="0.25">
      <c r="A23" s="15">
        <f>(COUNTIFS('MSME policies catalogue'!C6:C248,Codes!C2,'MSME policies catalogue'!J6:J248,'Drop-down'!A7))/((COUNTIFS('MSME policies catalogue'!C6:C248,Codes!C2,'MSME policies catalogue'!J6:J248,"&lt;&gt;Unsure")))</f>
        <v>0.42857142857142855</v>
      </c>
      <c r="B23" t="s">
        <v>216</v>
      </c>
    </row>
    <row r="24" spans="1:6" x14ac:dyDescent="0.25">
      <c r="A24">
        <f>COUNTIFS('MSME policies catalogue'!D6:D2000,Codes!D2,'MSME policies catalogue'!J6:J2000,'Drop-down'!A7)</f>
        <v>3</v>
      </c>
      <c r="B24" t="s">
        <v>217</v>
      </c>
    </row>
    <row r="25" spans="1:6" x14ac:dyDescent="0.25">
      <c r="A25" s="15">
        <f>(COUNTIFS('MSME policies catalogue'!D6:D248,Codes!D2,'MSME policies catalogue'!J6:J248,'Drop-down'!A7))/((COUNTIFS('MSME policies catalogue'!D6:D248,Codes!D2,'MSME policies catalogue'!J6:J248,"&lt;&gt;Unsure")))</f>
        <v>0.27272727272727271</v>
      </c>
      <c r="B25" t="s">
        <v>218</v>
      </c>
    </row>
    <row r="27" spans="1:6" x14ac:dyDescent="0.25">
      <c r="B27" t="s">
        <v>219</v>
      </c>
    </row>
    <row r="28" spans="1:6" ht="42" customHeight="1" x14ac:dyDescent="0.25">
      <c r="A28" s="16" t="s">
        <v>194</v>
      </c>
      <c r="B28" t="s">
        <v>220</v>
      </c>
      <c r="C28" s="16" t="s">
        <v>221</v>
      </c>
      <c r="D28" s="16" t="s">
        <v>222</v>
      </c>
      <c r="E28" s="16" t="s">
        <v>223</v>
      </c>
      <c r="F28" s="16" t="s">
        <v>224</v>
      </c>
    </row>
    <row r="29" spans="1:6" x14ac:dyDescent="0.25">
      <c r="A29">
        <f>COUNTIF('MSME policies catalogue'!P6:P248, "*Informal businesses*")</f>
        <v>0</v>
      </c>
      <c r="B29" t="s">
        <v>127</v>
      </c>
      <c r="C29">
        <f>COUNTIFS('MSME policies catalogue'!P6:P248, "*Informal businesses*", 'MSME policies catalogue'!C6:C248, Codes!C2)</f>
        <v>0</v>
      </c>
      <c r="D29">
        <f>COUNTIFS('MSME policies catalogue'!P6:P248, "*Informal businesses*", 'MSME policies catalogue'!D6:D248, Codes!D2)</f>
        <v>0</v>
      </c>
      <c r="E29">
        <f>COUNTIFS('MSME policies catalogue'!P6:P248, "*Informal businesses*", 'MSME policies catalogue'!T6:T248, "Yes")</f>
        <v>0</v>
      </c>
      <c r="F29">
        <f>COUNTIFS('MSME policies catalogue'!P6:P248, "*Informal businesses*", 'MSME policies catalogue'!$J$6:$J$248,"Yes")</f>
        <v>0</v>
      </c>
    </row>
    <row r="30" spans="1:6" x14ac:dyDescent="0.25">
      <c r="A30">
        <f>COUNTIF('MSME policies catalogue'!P6:P248, "*Other*")</f>
        <v>1</v>
      </c>
      <c r="B30" t="s">
        <v>131</v>
      </c>
      <c r="C30">
        <f>COUNTIFS('MSME policies catalogue'!P6:P248, "*Other*", 'MSME policies catalogue'!C6:C248, Codes!C2)</f>
        <v>0</v>
      </c>
      <c r="D30">
        <f>COUNTIFS('MSME policies catalogue'!P6:P248, "*Other*", 'MSME policies catalogue'!D6:D248, Codes!D2)</f>
        <v>0</v>
      </c>
      <c r="E30">
        <f>COUNTIFS('MSME policies catalogue'!P6:P248, "*Other*", 'MSME policies catalogue'!T6:T248, "Yes")</f>
        <v>0</v>
      </c>
      <c r="F30">
        <f>COUNTIFS('MSME policies catalogue'!P6:P248, "*Other*", 'MSME policies catalogue'!$J$6:$J$248,"Yes")</f>
        <v>0</v>
      </c>
    </row>
    <row r="31" spans="1:6" x14ac:dyDescent="0.25">
      <c r="A31">
        <f>COUNTIF('MSME policies catalogue'!P6:P248, "*Urban Livelihoods*")</f>
        <v>2</v>
      </c>
      <c r="B31" t="s">
        <v>99</v>
      </c>
      <c r="C31">
        <f>COUNTIFS('MSME policies catalogue'!P6:P248, "*Urban livelihoods*", 'MSME policies catalogue'!C6:C248, Codes!C2)</f>
        <v>0</v>
      </c>
      <c r="D31">
        <f>COUNTIFS('MSME policies catalogue'!P6:P248, "*Urban livelihoods*", 'MSME policies catalogue'!D6:D248, Codes!D2)</f>
        <v>0</v>
      </c>
      <c r="E31">
        <f>COUNTIFS('MSME policies catalogue'!P6:P248, "*Urban Livelihoods*", 'MSME policies catalogue'!T6:T248, "Yes")</f>
        <v>1</v>
      </c>
      <c r="F31">
        <f>COUNTIFS('MSME policies catalogue'!P6:P248, "*Urban Livelihoods*", 'MSME policies catalogue'!$J$6:$J$248,"Yes")</f>
        <v>2</v>
      </c>
    </row>
    <row r="32" spans="1:6" x14ac:dyDescent="0.25">
      <c r="A32">
        <f>COUNTIF('MSME policies catalogue'!P6:P248, "*Migrants*")</f>
        <v>2</v>
      </c>
      <c r="B32" t="s">
        <v>105</v>
      </c>
      <c r="C32">
        <f>COUNTIFS('MSME policies catalogue'!P6:P248, "*Migrants*", 'MSME policies catalogue'!C6:C248, Codes!C2)</f>
        <v>0</v>
      </c>
      <c r="D32">
        <f>COUNTIFS('MSME policies catalogue'!P6:P248, "*Migrants*", 'MSME policies catalogue'!D6:D248, Codes!D2)</f>
        <v>0</v>
      </c>
      <c r="E32">
        <f>COUNTIFS('MSME policies catalogue'!P6:P248, "*Migrants*", 'MSME policies catalogue'!T6:T248, "Yes")</f>
        <v>1</v>
      </c>
      <c r="F32">
        <f>COUNTIFS('MSME policies catalogue'!P6:P248, "*Migrants*", 'MSME policies catalogue'!$J$6:$J$248,"Yes")</f>
        <v>2</v>
      </c>
    </row>
    <row r="33" spans="1:6" x14ac:dyDescent="0.25">
      <c r="A33">
        <f>COUNTIF('MSME policies catalogue'!P6:P248, "*Adversely affected businesses by the COVID-19 crisis*")</f>
        <v>15</v>
      </c>
      <c r="B33" t="s">
        <v>117</v>
      </c>
      <c r="C33">
        <f>COUNTIFS('MSME policies catalogue'!P6:P248, "*Adversely affected businesses by the COVID-19 crisis*", 'MSME policies catalogue'!C6:C248, Codes!C2)</f>
        <v>1</v>
      </c>
      <c r="D33">
        <f>COUNTIFS('MSME policies catalogue'!P6:P248, "*Adversely affected businesses by the COVID-19 crisis*", 'MSME policies catalogue'!D6:D248, Codes!D2)</f>
        <v>4</v>
      </c>
      <c r="E33">
        <f>COUNTIFS('MSME policies catalogue'!P6:P248, "*Adversely affected businesses by the COVID-19 crisis*", 'MSME policies catalogue'!T6:T248, "Yes")</f>
        <v>12</v>
      </c>
      <c r="F33">
        <f>COUNTIFS('MSME policies catalogue'!P6:P248, "*Adversely affected businesses by the COVID-19 crisis*", 'MSME policies catalogue'!$J$6:$J$248,"Yes")</f>
        <v>1</v>
      </c>
    </row>
    <row r="34" spans="1:6" x14ac:dyDescent="0.25">
      <c r="A34">
        <f>COUNTIF('MSME policies catalogue'!P6:P248, "*People with disabilities*")</f>
        <v>16</v>
      </c>
      <c r="B34" t="s">
        <v>111</v>
      </c>
      <c r="C34">
        <f>COUNTIFS('MSME policies catalogue'!P6:P248, "*People with disabilities*", 'MSME policies catalogue'!C6:C248, Codes!C2)</f>
        <v>4</v>
      </c>
      <c r="D34">
        <f>COUNTIFS('MSME policies catalogue'!P6:P248, "*People with disabilities*", 'MSME policies catalogue'!D6:D248, Codes!D2)</f>
        <v>0</v>
      </c>
      <c r="E34">
        <f>COUNTIFS('MSME policies catalogue'!P6:P248, "*People with disabilities*", 'MSME policies catalogue'!T6:T248, "Yes")</f>
        <v>3</v>
      </c>
      <c r="F34">
        <f>COUNTIFS('MSME policies catalogue'!P6:P248, "*People with disabilities*", 'MSME policies catalogue'!$J$6:$J$248,"Yes")</f>
        <v>2</v>
      </c>
    </row>
    <row r="35" spans="1:6" x14ac:dyDescent="0.25">
      <c r="A35">
        <f>COUNTIF('MSME policies catalogue'!P6:P248, "*Start ups*")</f>
        <v>17</v>
      </c>
      <c r="B35" t="s">
        <v>123</v>
      </c>
      <c r="C35">
        <f>COUNTIFS('MSME policies catalogue'!P6:P248, "*Start ups*", 'MSME policies catalogue'!C6:C248, Codes!C2)</f>
        <v>4</v>
      </c>
      <c r="D35">
        <f>COUNTIFS('MSME policies catalogue'!P6:P248, "*Start ups*", 'MSME policies catalogue'!D6:D248, Codes!D2)</f>
        <v>2</v>
      </c>
      <c r="E35">
        <f>COUNTIFS('MSME policies catalogue'!P6:P248, "*Start ups*", 'MSME policies catalogue'!T6:T248, "Yes")</f>
        <v>2</v>
      </c>
      <c r="F35">
        <f>COUNTIFS('MSME policies catalogue'!P6:P248, "*Start ups*", 'MSME policies catalogue'!$J$6:$J$248,"Yes")</f>
        <v>10</v>
      </c>
    </row>
    <row r="36" spans="1:6" x14ac:dyDescent="0.25">
      <c r="A36">
        <f>COUNTIF('MSME policies catalogue'!P6:P248, "*Rural Livelihoods*")</f>
        <v>27</v>
      </c>
      <c r="B36" t="s">
        <v>93</v>
      </c>
      <c r="C36">
        <f>COUNTIFS('MSME policies catalogue'!P6:P248, "*Rural livelihoods*", 'MSME policies catalogue'!C6:C248, Codes!C2)</f>
        <v>3</v>
      </c>
      <c r="D36">
        <f>COUNTIFS('MSME policies catalogue'!P6:P248, "*Rural livelihoods*", 'MSME policies catalogue'!D6:D248, Codes!D2)</f>
        <v>1</v>
      </c>
      <c r="E36">
        <f>COUNTIFS('MSME policies catalogue'!P6:P248, "*Rural Livelihoods*", 'MSME policies catalogue'!T6:T248, "Yes")</f>
        <v>2</v>
      </c>
      <c r="F36">
        <f>COUNTIFS('MSME policies catalogue'!P6:P248, "*Rural Livelihoods*", 'MSME policies catalogue'!$J$6:$J$248,"Yes")</f>
        <v>16</v>
      </c>
    </row>
    <row r="37" spans="1:6" x14ac:dyDescent="0.25">
      <c r="A37">
        <f>COUNTIF('MSME policies catalogue'!P6:P248, "*Micro enterprise*")</f>
        <v>41</v>
      </c>
      <c r="B37" t="s">
        <v>87</v>
      </c>
      <c r="C37">
        <f>COUNTIFS('MSME policies catalogue'!P6:P248, "*Micro enterprises*", 'MSME policies catalogue'!C6:C248, Codes!C2)</f>
        <v>4</v>
      </c>
      <c r="D37">
        <f>COUNTIFS('MSME policies catalogue'!P6:P248, "*Micro enterprises*", 'MSME policies catalogue'!D6:D248, Codes!D2)</f>
        <v>3</v>
      </c>
      <c r="E37">
        <f>COUNTIFS('MSME policies catalogue'!P6:P248, "*Micro enterprise*", 'MSME policies catalogue'!T6:T248, "Yes")</f>
        <v>5</v>
      </c>
      <c r="F37">
        <f>COUNTIFS('MSME policies catalogue'!P6:P248, "*Micro enterprise*", 'MSME policies catalogue'!$J$6:$J$248,"Yes")</f>
        <v>19</v>
      </c>
    </row>
    <row r="38" spans="1:6" x14ac:dyDescent="0.25">
      <c r="A38">
        <f>COUNTIF('MSME policies catalogue'!P6:P248, "*Youth*")</f>
        <v>62</v>
      </c>
      <c r="B38" t="s">
        <v>81</v>
      </c>
      <c r="C38">
        <f>COUNTIFS('MSME policies catalogue'!P6:P248, "*Youth*", 'MSME policies catalogue'!C6:C248, Codes!C2)</f>
        <v>11</v>
      </c>
      <c r="D38">
        <f>COUNTIFS('MSME policies catalogue'!P6:P248, "*Youth*", 'MSME policies catalogue'!D6:D248, Codes!D2)</f>
        <v>2</v>
      </c>
      <c r="E38">
        <f>COUNTIFS('MSME policies catalogue'!P6:P248, "*Youth*", 'MSME policies catalogue'!T6:T248, "Yes")</f>
        <v>6</v>
      </c>
      <c r="F38">
        <f>COUNTIFS('MSME policies catalogue'!P6:P248, "*Youth*", 'MSME policies catalogue'!$J$6:$J$248,"Yes")</f>
        <v>31</v>
      </c>
    </row>
    <row r="39" spans="1:6" x14ac:dyDescent="0.25">
      <c r="A39">
        <f>COUNTIF('MSME policies catalogue'!P6:P248, "*Women*")</f>
        <v>63</v>
      </c>
      <c r="B39" t="s">
        <v>75</v>
      </c>
      <c r="C39">
        <f>COUNTIFS('MSME policies catalogue'!P6:P248, "*Women*", 'MSME policies catalogue'!C6:C248, Codes!C2)</f>
        <v>10</v>
      </c>
      <c r="D39">
        <f>COUNTIFS('MSME policies catalogue'!P6:P248, "*Women*", 'MSME policies catalogue'!D6:D248, Codes!D2)</f>
        <v>3</v>
      </c>
      <c r="E39">
        <f>COUNTIFS('MSME policies catalogue'!P6:P248, "*Women*", 'MSME policies catalogue'!T6:T248, "Yes")</f>
        <v>8</v>
      </c>
      <c r="F39">
        <f>COUNTIFS('MSME policies catalogue'!P6:P248, "*Women*", 'MSME policies catalogue'!$J$6:$J$248,"Yes")</f>
        <v>36</v>
      </c>
    </row>
    <row r="42" spans="1:6" ht="60" x14ac:dyDescent="0.25">
      <c r="A42" s="16" t="s">
        <v>225</v>
      </c>
      <c r="B42" t="s">
        <v>220</v>
      </c>
      <c r="C42" s="16" t="s">
        <v>226</v>
      </c>
      <c r="D42" s="16" t="s">
        <v>227</v>
      </c>
      <c r="E42" s="16" t="s">
        <v>228</v>
      </c>
      <c r="F42" s="16" t="s">
        <v>229</v>
      </c>
    </row>
    <row r="43" spans="1:6" x14ac:dyDescent="0.25">
      <c r="A43" s="15">
        <f>(COUNTIF('MSME policies catalogue'!P6:P248, "*Women*"))/(COUNTIFS('MSME policies catalogue'!P6:P248, "&lt;&gt;No information found", 'MSME policies catalogue'!P6:P248,"&lt;&gt;No specific target group"))</f>
        <v>0.48091603053435117</v>
      </c>
      <c r="B43" t="s">
        <v>75</v>
      </c>
      <c r="C43" s="15">
        <f>(COUNTIFS('MSME policies catalogue'!P6:P248, "*Women*",'MSME policies catalogue'!C6:C248, Codes!C2 ))/COUNTIFS('MSME policies catalogue'!C6:C248, Codes!C2, 'MSME policies catalogue'!P6:P248,"&lt;&gt;No information found",'MSME policies catalogue'!P6:P248,"&lt;&gt;No specific target group")</f>
        <v>0.43478260869565216</v>
      </c>
      <c r="D43" s="15">
        <f>(COUNTIFS('MSME policies catalogue'!P6:P248, "*Women*",'MSME policies catalogue'!D6:D248, Codes!D2 ))/COUNTIFS('MSME policies catalogue'!D6:D248, Codes!D2, 'MSME policies catalogue'!P6:P248,"&lt;&gt;No information found",'MSME policies catalogue'!P6:P248,"&lt;&gt;No specific target group")</f>
        <v>0.375</v>
      </c>
      <c r="E43" s="15">
        <f>(COUNTIFS('MSME policies catalogue'!P6:P248, "*Women*", 'MSME policies catalogue'!T6:T248, "Yes"))/COUNTIFS('MSME policies catalogue'!P6:P248,"&lt;&gt;No information found",'MSME policies catalogue'!P6:P248,"&lt;&gt;No specific target group", 'MSME policies catalogue'!T6:T248, "Yes")</f>
        <v>0.34782608695652173</v>
      </c>
      <c r="F43" s="15">
        <f>(COUNTIFS('MSME policies catalogue'!P6:P248, "*Women*", 'MSME policies catalogue'!J6:J248, "Yes"))/(COUNTIFS('MSME policies catalogue'!P6:P248,"&lt;&gt;No information found",'MSME policies catalogue'!P6:P248,"&lt;&gt;No specific target group",'MSME policies catalogue'!J6:J248, "&lt;&gt;Unsure", 'MSME policies catalogue'!J6:J248, "Yes" ))</f>
        <v>0.5901639344262295</v>
      </c>
    </row>
    <row r="44" spans="1:6" x14ac:dyDescent="0.25">
      <c r="A44" s="15">
        <f>(COUNTIF('MSME policies catalogue'!P6:P248, "*Youth*"))/(COUNTIFS('MSME policies catalogue'!P6:P248, "&lt;&gt;No information found", 'MSME policies catalogue'!P6:P248,"&lt;&gt;No specific target group"))</f>
        <v>0.47328244274809161</v>
      </c>
      <c r="B44" t="s">
        <v>81</v>
      </c>
      <c r="C44" s="15">
        <f>(COUNTIFS('MSME policies catalogue'!P6:P248, "*Youth*",'MSME policies catalogue'!C6:C248, Codes!C2 ))/COUNTIFS('MSME policies catalogue'!C6:C248, Codes!C2, 'MSME policies catalogue'!P6:P248,"&lt;&gt;No information found",'MSME policies catalogue'!P6:P248,"&lt;&gt;No specific target group")</f>
        <v>0.47826086956521741</v>
      </c>
      <c r="D44" s="15">
        <f>(COUNTIFS('MSME policies catalogue'!P6:P248, "*Youth*",'MSME policies catalogue'!D6:D248, Codes!D2 ))/COUNTIFS('MSME policies catalogue'!D6:D248, Codes!D2, 'MSME policies catalogue'!P6:P248,"&lt;&gt;No information found",'MSME policies catalogue'!P6:P248,"&lt;&gt;No specific target group")</f>
        <v>0.25</v>
      </c>
      <c r="E44" s="15">
        <f>(COUNTIFS('MSME policies catalogue'!P6:P248, "*Youth*", 'MSME policies catalogue'!T6:T248, "Yes"))/COUNTIFS('MSME policies catalogue'!P6:P248,"&lt;&gt;No information found",'MSME policies catalogue'!P6:P248,"&lt;&gt;No specific target group", 'MSME policies catalogue'!T6:T248, "Yes")</f>
        <v>0.2608695652173913</v>
      </c>
      <c r="F44" s="15">
        <f>(COUNTIFS('MSME policies catalogue'!P6:P248, "*Youth*", 'MSME policies catalogue'!J6:J248, "Yes"))/(COUNTIFS('MSME policies catalogue'!P6:P248,"&lt;&gt;No information found",'MSME policies catalogue'!P6:P248,"&lt;&gt;No specific target group",'MSME policies catalogue'!J6:J248, "&lt;&gt;Unsure", 'MSME policies catalogue'!J6:J248, "Yes" ))</f>
        <v>0.50819672131147542</v>
      </c>
    </row>
    <row r="45" spans="1:6" x14ac:dyDescent="0.25">
      <c r="A45" s="15">
        <f>(COUNTIF('MSME policies catalogue'!P6:P248, "*Micro enterprises*"))/(COUNTIFS('MSME policies catalogue'!P6:P248, "&lt;&gt;No information found", 'MSME policies catalogue'!P6:P248,"&lt;&gt;No specific target group"))</f>
        <v>0.31297709923664124</v>
      </c>
      <c r="B45" t="s">
        <v>87</v>
      </c>
      <c r="C45" s="15">
        <f>(COUNTIFS('MSME policies catalogue'!P6:P248, "*Micro enterprises*",'MSME policies catalogue'!C6:C248, Codes!C2 ))/COUNTIFS('MSME policies catalogue'!C6:C248, Codes!C2, 'MSME policies catalogue'!P6:P248,"&lt;&gt;No information found",'MSME policies catalogue'!P6:P248,"&lt;&gt;No specific target group")</f>
        <v>0.17391304347826086</v>
      </c>
      <c r="D45" s="15">
        <f>(COUNTIFS('MSME policies catalogue'!P6:P248, "*Micro enterprises*",'MSME policies catalogue'!D6:D248, Codes!D2 ))/COUNTIFS('MSME policies catalogue'!D6:D248, Codes!D2, 'MSME policies catalogue'!P6:P248,"&lt;&gt;No information found",'MSME policies catalogue'!P6:P248,"&lt;&gt;No specific target group")</f>
        <v>0.375</v>
      </c>
      <c r="E45" s="15">
        <f>(COUNTIFS('MSME policies catalogue'!P6:P248, "*Micro enterprises*", 'MSME policies catalogue'!T6:T248, "Yes"))/COUNTIFS('MSME policies catalogue'!P6:P248,"&lt;&gt;No information found",'MSME policies catalogue'!P6:P248,"&lt;&gt;No specific target group", 'MSME policies catalogue'!T6:T248, "Yes")</f>
        <v>0.21739130434782608</v>
      </c>
      <c r="F45" s="15">
        <f>(COUNTIFS('MSME policies catalogue'!P6:P248, "*Micro enterprises*", 'MSME policies catalogue'!J6:J248, "Yes"))/(COUNTIFS('MSME policies catalogue'!P6:P248,"&lt;&gt;No information found",'MSME policies catalogue'!P6:P248,"&lt;&gt;No specific target group",'MSME policies catalogue'!J6:J248, "&lt;&gt;Unsure", 'MSME policies catalogue'!J6:J248, "Yes" ))</f>
        <v>0.31147540983606559</v>
      </c>
    </row>
    <row r="46" spans="1:6" x14ac:dyDescent="0.25">
      <c r="A46" s="15">
        <f>(COUNTIF('MSME policies catalogue'!P6:P248, "*Rural livelihoods*"))/(COUNTIFS('MSME policies catalogue'!P6:P248, "&lt;&gt;No information found", 'MSME policies catalogue'!P6:P248,"&lt;&gt;No specific target group"))</f>
        <v>0.20610687022900764</v>
      </c>
      <c r="B46" t="s">
        <v>93</v>
      </c>
      <c r="C46" s="15">
        <f>(COUNTIFS('MSME policies catalogue'!P6:P248, "*Rural livelihoods*",'MSME policies catalogue'!C6:C248, Codes!C2 ))/COUNTIFS('MSME policies catalogue'!C6:C248, Codes!C2, 'MSME policies catalogue'!P6:P248,"&lt;&gt;No information found",'MSME policies catalogue'!P6:P248,"&lt;&gt;No specific target group")</f>
        <v>0.13043478260869565</v>
      </c>
      <c r="D46" s="15">
        <f>(COUNTIFS('MSME policies catalogue'!P6:P248, "*Rural livelihoods*",'MSME policies catalogue'!D6:D248, Codes!D2 ))/COUNTIFS('MSME policies catalogue'!D6:D248, Codes!D2, 'MSME policies catalogue'!P6:P248,"&lt;&gt;No information found",'MSME policies catalogue'!P6:P248,"&lt;&gt;No specific target group")</f>
        <v>0.125</v>
      </c>
      <c r="E46" s="15">
        <f>(COUNTIFS('MSME policies catalogue'!P6:P248, "*Rural livelihoods*", 'MSME policies catalogue'!T6:T248, "Yes"))/COUNTIFS('MSME policies catalogue'!P6:P248,"&lt;&gt;No information found",'MSME policies catalogue'!P6:P248,"&lt;&gt;No specific target group", 'MSME policies catalogue'!T6:T248, "Yes")</f>
        <v>8.6956521739130432E-2</v>
      </c>
      <c r="F46" s="15">
        <f>(COUNTIFS('MSME policies catalogue'!P6:P248, "*Rural livelihoods*", 'MSME policies catalogue'!J6:J248, "Yes"))/(COUNTIFS('MSME policies catalogue'!P6:P248,"&lt;&gt;No information found",'MSME policies catalogue'!P6:P248,"&lt;&gt;No specific target group",'MSME policies catalogue'!J6:J248, "&lt;&gt;Unsure", 'MSME policies catalogue'!J6:J248, "Yes" ))</f>
        <v>0.26229508196721313</v>
      </c>
    </row>
    <row r="47" spans="1:6" x14ac:dyDescent="0.25">
      <c r="A47" s="15">
        <f>(COUNTIF('MSME policies catalogue'!P6:P248, "*Start ups*"))/(COUNTIFS('MSME policies catalogue'!P6:P248, "&lt;&gt;No information found", 'MSME policies catalogue'!P6:P248,"&lt;&gt;No specific target group"))</f>
        <v>0.12977099236641221</v>
      </c>
      <c r="B47" t="s">
        <v>123</v>
      </c>
      <c r="C47" s="15">
        <f>(COUNTIFS('MSME policies catalogue'!P6:P248, "*Start ups*",'MSME policies catalogue'!C6:C248, Codes!C2 ))/COUNTIFS('MSME policies catalogue'!C6:C248, Codes!C2, 'MSME policies catalogue'!P6:P248,"&lt;&gt;No information found",'MSME policies catalogue'!P6:P248,"&lt;&gt;No specific target group")</f>
        <v>0.17391304347826086</v>
      </c>
      <c r="D47" s="15">
        <f>(COUNTIFS('MSME policies catalogue'!P6:P248, "*Start ups*",'MSME policies catalogue'!D6:D248, Codes!D2 ))/COUNTIFS('MSME policies catalogue'!D6:D248, Codes!D2, 'MSME policies catalogue'!P6:P248,"&lt;&gt;No information found",'MSME policies catalogue'!P6:P248,"&lt;&gt;No specific target group")</f>
        <v>0.25</v>
      </c>
      <c r="E47" s="15">
        <f>(COUNTIFS('MSME policies catalogue'!P6:P248, "*Start ups*", 'MSME policies catalogue'!T6:T248, "Yes"))/COUNTIFS('MSME policies catalogue'!P6:P248,"&lt;&gt;No information found",'MSME policies catalogue'!P6:P248,"&lt;&gt;No specific target group", 'MSME policies catalogue'!T6:T248, "Yes")</f>
        <v>8.6956521739130432E-2</v>
      </c>
      <c r="F47" s="15">
        <f>(COUNTIFS('MSME policies catalogue'!P6:P248, "*Start ups*", 'MSME policies catalogue'!J6:J248, "Yes"))/(COUNTIFS('MSME policies catalogue'!P6:P248,"&lt;&gt;No information found",'MSME policies catalogue'!P6:P248,"&lt;&gt;No specific target group",'MSME policies catalogue'!J6:J248, "&lt;&gt;Unsure", 'MSME policies catalogue'!J6:J248, "Yes" ))</f>
        <v>0.16393442622950818</v>
      </c>
    </row>
    <row r="48" spans="1:6" x14ac:dyDescent="0.25">
      <c r="A48" s="15">
        <f>(COUNTIF('MSME policies catalogue'!P6:P248, "*People with disabilities*"))/(COUNTIFS('MSME policies catalogue'!P6:P248, "&lt;&gt;No information found", 'MSME policies catalogue'!P6:P248,"&lt;&gt;No specific target group"))</f>
        <v>0.12213740458015267</v>
      </c>
      <c r="B48" t="s">
        <v>111</v>
      </c>
      <c r="C48" s="15">
        <f>(COUNTIFS('MSME policies catalogue'!P6:P248, "*People with disabilities*",'MSME policies catalogue'!C6:C248, Codes!C2 ))/COUNTIFS('MSME policies catalogue'!C6:C248, Codes!C2, 'MSME policies catalogue'!P6:P248,"&lt;&gt;No information found",'MSME policies catalogue'!P6:P248,"&lt;&gt;No specific target group")</f>
        <v>0.17391304347826086</v>
      </c>
      <c r="D48" s="15">
        <f>(COUNTIFS('MSME policies catalogue'!P6:P248, "*People with disabilities*",'MSME policies catalogue'!D6:D248, Codes!D2 ))/COUNTIFS('MSME policies catalogue'!D6:D248, Codes!D2, 'MSME policies catalogue'!P6:P248,"&lt;&gt;No information found",'MSME policies catalogue'!P6:P248,"&lt;&gt;No specific target group")</f>
        <v>0</v>
      </c>
      <c r="E48" s="15">
        <f>(COUNTIFS('MSME policies catalogue'!P6:P248, "*People with disabilities*", 'MSME policies catalogue'!T6:T248, "Yes"))/COUNTIFS('MSME policies catalogue'!P6:P248,"&lt;&gt;No information found",'MSME policies catalogue'!P6:P248,"&lt;&gt;No specific target group", 'MSME policies catalogue'!T6:T248, "Yes")</f>
        <v>0.13043478260869565</v>
      </c>
      <c r="F48" s="15">
        <f>(COUNTIFS('MSME policies catalogue'!P6:P248, "*People with disabilities*", 'MSME policies catalogue'!J6:J248, "Yes"))/(COUNTIFS('MSME policies catalogue'!P6:P248,"&lt;&gt;No information found",'MSME policies catalogue'!P6:P248,"&lt;&gt;No specific target group",'MSME policies catalogue'!J6:J248, "&lt;&gt;Unsure", 'MSME policies catalogue'!J6:J248, "Yes" ))</f>
        <v>3.2786885245901641E-2</v>
      </c>
    </row>
    <row r="49" spans="1:6" x14ac:dyDescent="0.25">
      <c r="A49" s="15">
        <f>(COUNTIF('MSME policies catalogue'!P6:P248, "*Adversely affected businesses by the COVID-19 crisis*"))/(COUNTIFS('MSME policies catalogue'!P6:P248, "&lt;&gt;No information found", 'MSME policies catalogue'!P6:P248,"&lt;&gt;No specific target group"))</f>
        <v>0.11450381679389313</v>
      </c>
      <c r="B49" t="s">
        <v>117</v>
      </c>
      <c r="C49" s="15">
        <f>(COUNTIFS('MSME policies catalogue'!P6:P248, "*Adversely affected businesses by the COVID-19 crisis*",'MSME policies catalogue'!C6:C248, Codes!C2 ))/COUNTIFS('MSME policies catalogue'!C6:C248, Codes!C2, 'MSME policies catalogue'!P6:P248,"&lt;&gt;No information found",'MSME policies catalogue'!P6:P248,"&lt;&gt;No specific target group")</f>
        <v>4.3478260869565216E-2</v>
      </c>
      <c r="D49" s="15">
        <f>(COUNTIFS('MSME policies catalogue'!P6:P248, "*Adversely affected businesses by the COVID-19 crisis*",'MSME policies catalogue'!D6:D248, Codes!D2 ))/COUNTIFS('MSME policies catalogue'!D6:D248, Codes!D2, 'MSME policies catalogue'!P6:P248,"&lt;&gt;No information found",'MSME policies catalogue'!P6:P248,"&lt;&gt;No specific target group")</f>
        <v>0.5</v>
      </c>
      <c r="E49" s="15">
        <f>(COUNTIFS('MSME policies catalogue'!P6:P248, "*Adversely affected businesses by the COVID-19 crisis*", 'MSME policies catalogue'!T6:T248, "Yes"))/COUNTIFS('MSME policies catalogue'!P6:P248,"&lt;&gt;No information found",'MSME policies catalogue'!P6:P248,"&lt;&gt;No specific target group", 'MSME policies catalogue'!T6:T248, "Yes")</f>
        <v>0.52173913043478259</v>
      </c>
      <c r="F49" s="15">
        <f>(COUNTIFS('MSME policies catalogue'!P6:P248, "*Adversely affected businesses by the COVID-19 crisis*", 'MSME policies catalogue'!J6:J248, "Yes"))/(COUNTIFS('MSME policies catalogue'!P6:P248,"&lt;&gt;No information found",'MSME policies catalogue'!P6:P248,"&lt;&gt;No specific target group",'MSME policies catalogue'!J6:J248, "&lt;&gt;Unsure", 'MSME policies catalogue'!J6:J248, "Yes" ))</f>
        <v>1.6393442622950821E-2</v>
      </c>
    </row>
    <row r="50" spans="1:6" x14ac:dyDescent="0.25">
      <c r="A50" s="15">
        <f>(COUNTIF('MSME policies catalogue'!P6:P248, "*Urban livelihoods*"))/(COUNTIFS('MSME policies catalogue'!P6:P248, "&lt;&gt;No information found", 'MSME policies catalogue'!P6:P248,"&lt;&gt;No specific target group"))</f>
        <v>1.5267175572519083E-2</v>
      </c>
      <c r="B50" t="s">
        <v>99</v>
      </c>
      <c r="C50" s="15">
        <f>(COUNTIFS('MSME policies catalogue'!P6:P248, "*Urban livelihoods*",'MSME policies catalogue'!C6:C248, Codes!C2 ))/COUNTIFS('MSME policies catalogue'!C6:C248, Codes!C2, 'MSME policies catalogue'!P6:P248,"&lt;&gt;No information found",'MSME policies catalogue'!P6:P248,"&lt;&gt;No specific target group")</f>
        <v>0</v>
      </c>
      <c r="D50" s="15">
        <f>(COUNTIFS('MSME policies catalogue'!P6:P248, "*Urban livelihoods*",'MSME policies catalogue'!D6:D248, Codes!D2 ))/COUNTIFS('MSME policies catalogue'!D6:D248, Codes!D2, 'MSME policies catalogue'!P6:P248,"&lt;&gt;No information found",'MSME policies catalogue'!P6:P248,"&lt;&gt;No specific target group")</f>
        <v>0</v>
      </c>
      <c r="E50" s="15">
        <f>(COUNTIFS('MSME policies catalogue'!P6:P248, "*Urban livelihoods*", 'MSME policies catalogue'!T6:T248, "Yes"))/COUNTIFS('MSME policies catalogue'!P6:P248,"&lt;&gt;No information found",'MSME policies catalogue'!P6:P248,"&lt;&gt;No specific target group", 'MSME policies catalogue'!T6:T248, "Yes")</f>
        <v>4.3478260869565216E-2</v>
      </c>
      <c r="F50" s="15">
        <f>(COUNTIFS('MSME policies catalogue'!P6:P248, "*Urban livelihoods*", 'MSME policies catalogue'!J6:J248, "Yes"))/(COUNTIFS('MSME policies catalogue'!P6:P248,"&lt;&gt;No information found",'MSME policies catalogue'!P6:P248,"&lt;&gt;No specific target group",'MSME policies catalogue'!J6:J248, "&lt;&gt;Unsure", 'MSME policies catalogue'!J6:J248, "Yes" ))</f>
        <v>3.2786885245901641E-2</v>
      </c>
    </row>
    <row r="51" spans="1:6" x14ac:dyDescent="0.25">
      <c r="A51" s="15">
        <f>(COUNTIF('MSME policies catalogue'!P6:P248, "*Migrants*"))/(COUNTIFS('MSME policies catalogue'!P6:P248, "&lt;&gt;No information found", 'MSME policies catalogue'!P6:P248,"&lt;&gt;No specific target group"))</f>
        <v>1.5267175572519083E-2</v>
      </c>
      <c r="B51" t="s">
        <v>105</v>
      </c>
      <c r="C51" s="15">
        <f>(COUNTIFS('MSME policies catalogue'!P6:P248, "*Migrants*",'MSME policies catalogue'!C6:C248, Codes!C2 ))/COUNTIFS('MSME policies catalogue'!C6:C248, Codes!C2, 'MSME policies catalogue'!P6:P248,"&lt;&gt;No information found",'MSME policies catalogue'!P6:P248,"&lt;&gt;No specific target group")</f>
        <v>0</v>
      </c>
      <c r="D51" s="15">
        <f>(COUNTIFS('MSME policies catalogue'!P6:P248, "*Migrants*",'MSME policies catalogue'!D6:D248, Codes!D2 ))/COUNTIFS('MSME policies catalogue'!D6:D248, Codes!D2, 'MSME policies catalogue'!P6:P248,"&lt;&gt;No information found",'MSME policies catalogue'!P6:P248,"&lt;&gt;No specific target group")</f>
        <v>0</v>
      </c>
      <c r="E51" s="15">
        <f>(COUNTIFS('MSME policies catalogue'!P6:P248, "*Migrants*", 'MSME policies catalogue'!T6:T248, "Yes"))/COUNTIFS('MSME policies catalogue'!P6:P248,"&lt;&gt;No information found",'MSME policies catalogue'!P6:P248,"&lt;&gt;No specific target group", 'MSME policies catalogue'!T6:T248, "Yes")</f>
        <v>4.3478260869565216E-2</v>
      </c>
      <c r="F51" s="15">
        <f>(COUNTIFS('MSME policies catalogue'!P6:P248, "*Migrants*", 'MSME policies catalogue'!J6:J248, "Yes"))/(COUNTIFS('MSME policies catalogue'!P6:P248,"&lt;&gt;No information found",'MSME policies catalogue'!P6:P248,"&lt;&gt;No specific target group",'MSME policies catalogue'!J6:J248, "&lt;&gt;Unsure", 'MSME policies catalogue'!J6:J248, "Yes" ))</f>
        <v>3.2786885245901641E-2</v>
      </c>
    </row>
    <row r="52" spans="1:6" x14ac:dyDescent="0.25">
      <c r="A52" s="15">
        <f>(COUNTIF('MSME policies catalogue'!P6:P248, "*Other*"))/(COUNTIFS('MSME policies catalogue'!P6:P248, "&lt;&gt;No information found", 'MSME policies catalogue'!P6:P248,"&lt;&gt;No specific target group"))</f>
        <v>7.6335877862595417E-3</v>
      </c>
      <c r="B52" t="s">
        <v>131</v>
      </c>
      <c r="C52" s="15">
        <f>(COUNTIFS('MSME policies catalogue'!P6:P248, "*Other*",'MSME policies catalogue'!C6:C248, Codes!C2 ))/COUNTIFS('MSME policies catalogue'!C6:C248, Codes!C2, 'MSME policies catalogue'!P6:P248,"&lt;&gt;No information found",'MSME policies catalogue'!P6:P248,"&lt;&gt;No specific target group")</f>
        <v>0</v>
      </c>
      <c r="D52" s="15">
        <f>(COUNTIFS('MSME policies catalogue'!P6:P248, "*Other*",'MSME policies catalogue'!D6:D248, Codes!D2 ))/COUNTIFS('MSME policies catalogue'!D6:D248, Codes!D2, 'MSME policies catalogue'!P6:P248,"&lt;&gt;No information found",'MSME policies catalogue'!P6:P248,"&lt;&gt;No specific target group")</f>
        <v>0</v>
      </c>
      <c r="E52" s="15">
        <f>(COUNTIFS('MSME policies catalogue'!P6:P248, "*Other*", 'MSME policies catalogue'!T6:T248, "Yes"))/COUNTIFS('MSME policies catalogue'!P6:P248,"&lt;&gt;No information found",'MSME policies catalogue'!P6:P248,"&lt;&gt;No specific target group", 'MSME policies catalogue'!T6:T248, "Yes")</f>
        <v>0</v>
      </c>
      <c r="F52" s="15">
        <f>(COUNTIFS('MSME policies catalogue'!P6:P248, "*Other*", 'MSME policies catalogue'!J6:J248, "Yes"))/(COUNTIFS('MSME policies catalogue'!P6:P248,"&lt;&gt;No information found",'MSME policies catalogue'!P6:P248,"&lt;&gt;No specific target group",'MSME policies catalogue'!J6:J248, "&lt;&gt;Unsure", 'MSME policies catalogue'!J6:J248, "Yes" ))</f>
        <v>0</v>
      </c>
    </row>
    <row r="53" spans="1:6" x14ac:dyDescent="0.25">
      <c r="A53" s="15">
        <f>(COUNTIF('MSME policies catalogue'!P6:P248, "*Informal businesses*"))/(COUNTIFS('MSME policies catalogue'!P6:P248, "&lt;&gt;No information found", 'MSME policies catalogue'!P6:P248,"&lt;&gt;No specific target group"))</f>
        <v>0</v>
      </c>
      <c r="B53" t="s">
        <v>127</v>
      </c>
      <c r="C53" s="15">
        <f>(COUNTIFS('MSME policies catalogue'!P6:P248, "*Informal businesses*",'MSME policies catalogue'!C6:C248, Codes!C2 ))/COUNTIFS('MSME policies catalogue'!C6:C248, Codes!C2, 'MSME policies catalogue'!P6:P248,"&lt;&gt;No information found",'MSME policies catalogue'!P6:P248,"&lt;&gt;No specific target group")</f>
        <v>0</v>
      </c>
      <c r="D53" s="15">
        <f>(COUNTIFS('MSME policies catalogue'!P6:P248, "*Informal businesses*",'MSME policies catalogue'!D6:D248, Codes!D2 ))/COUNTIFS('MSME policies catalogue'!D6:D248, Codes!D2, 'MSME policies catalogue'!P6:P248,"&lt;&gt;No information found",'MSME policies catalogue'!P6:P248,"&lt;&gt;No specific target group")</f>
        <v>0</v>
      </c>
      <c r="E53" s="15">
        <f>(COUNTIFS('MSME policies catalogue'!P6:P248, "*Informal businesses*", 'MSME policies catalogue'!T6:T248, "Yes"))/COUNTIFS('MSME policies catalogue'!P6:P248,"&lt;&gt;No information found",'MSME policies catalogue'!P6:P248,"&lt;&gt;No specific target group", 'MSME policies catalogue'!T6:T248, "Yes")</f>
        <v>0</v>
      </c>
      <c r="F53" s="15">
        <f>(COUNTIFS('MSME policies catalogue'!P6:P248, "*Informal businesses*", 'MSME policies catalogue'!J6:J248, "Yes"))/(COUNTIFS('MSME policies catalogue'!P6:P248,"&lt;&gt;No information found",'MSME policies catalogue'!P6:P248,"&lt;&gt;No specific target group",'MSME policies catalogue'!J6:J248, "&lt;&gt;Unsure", 'MSME policies catalogue'!J6:J248, "Yes" ))</f>
        <v>0</v>
      </c>
    </row>
    <row r="54" spans="1:6" x14ac:dyDescent="0.25">
      <c r="D54" s="15"/>
    </row>
    <row r="55" spans="1:6" x14ac:dyDescent="0.25">
      <c r="B55" t="s">
        <v>230</v>
      </c>
    </row>
    <row r="56" spans="1:6" ht="30" x14ac:dyDescent="0.25">
      <c r="A56" s="16" t="s">
        <v>194</v>
      </c>
      <c r="B56" t="s">
        <v>231</v>
      </c>
      <c r="C56" s="16" t="s">
        <v>221</v>
      </c>
      <c r="D56" s="16" t="s">
        <v>222</v>
      </c>
      <c r="E56" s="16" t="s">
        <v>223</v>
      </c>
      <c r="F56" s="16" t="s">
        <v>224</v>
      </c>
    </row>
    <row r="57" spans="1:6" x14ac:dyDescent="0.25">
      <c r="A57">
        <f>COUNTIF('MSME policies catalogue'!Q6:Q248, "*Agriculture*")</f>
        <v>73</v>
      </c>
      <c r="B57" t="s">
        <v>76</v>
      </c>
      <c r="C57">
        <f>COUNTIFS('MSME policies catalogue'!Q6:Q248, "*Agriculture*", 'MSME policies catalogue'!C6:C248, Codes!C2)</f>
        <v>17</v>
      </c>
      <c r="D57">
        <f>COUNTIFS('MSME policies catalogue'!Q6:Q248, "*Agriculture*", 'MSME policies catalogue'!D6:D248, Codes!D2)</f>
        <v>2</v>
      </c>
      <c r="E57">
        <f>COUNTIFS('MSME policies catalogue'!Q6:Q248, "*Agriculture*", 'MSME policies catalogue'!T6:T248, "Yes")</f>
        <v>11</v>
      </c>
      <c r="F57">
        <f>COUNTIFS('MSME policies catalogue'!Q6:Q248, "*Agriculture*", 'MSME policies catalogue'!J6:J248,"Yes")</f>
        <v>31</v>
      </c>
    </row>
    <row r="58" spans="1:6" x14ac:dyDescent="0.25">
      <c r="A58">
        <f>COUNTIF('MSME policies catalogue'!Q6:Q248, "*Trade*")</f>
        <v>23</v>
      </c>
      <c r="B58" t="s">
        <v>82</v>
      </c>
      <c r="C58">
        <f>COUNTIFS('MSME policies catalogue'!Q6:Q248, "*Trade*", 'MSME policies catalogue'!C6:C248, Codes!C2)</f>
        <v>6</v>
      </c>
      <c r="D58">
        <f>COUNTIFS('MSME policies catalogue'!Q6:Q248, "*Trade*", 'MSME policies catalogue'!D6:D248, Codes!D2)</f>
        <v>1</v>
      </c>
      <c r="E58">
        <f>COUNTIFS('MSME policies catalogue'!Q6:Q248, "*Trade*", 'MSME policies catalogue'!T6:T248, "Yes")</f>
        <v>4</v>
      </c>
      <c r="F58">
        <f>COUNTIFS('MSME policies catalogue'!Q6:Q248, "*Trade*", 'MSME policies catalogue'!J6:J248,"Yes")</f>
        <v>9</v>
      </c>
    </row>
    <row r="59" spans="1:6" x14ac:dyDescent="0.25">
      <c r="A59">
        <f>COUNTIF('MSME policies catalogue'!Q6:Q248, "*Manufacturing*")</f>
        <v>41</v>
      </c>
      <c r="B59" t="s">
        <v>88</v>
      </c>
      <c r="C59">
        <f>COUNTIFS('MSME policies catalogue'!Q6:Q248, "*Manufacturing*", 'MSME policies catalogue'!C6:C248, Codes!C2)</f>
        <v>9</v>
      </c>
      <c r="D59">
        <f>COUNTIFS('MSME policies catalogue'!Q6:Q248, "*Manufacturing*", 'MSME policies catalogue'!D6:D248, Codes!D2)</f>
        <v>2</v>
      </c>
      <c r="E59">
        <f>COUNTIFS('MSME policies catalogue'!Q6:Q248, "*Manufacturing*", 'MSME policies catalogue'!T6:T248, "Yes")</f>
        <v>6</v>
      </c>
      <c r="F59">
        <f>COUNTIFS('MSME policies catalogue'!Q6:Q248, "*Manufacturing*", 'MSME policies catalogue'!J6:J248,"Yes")</f>
        <v>12</v>
      </c>
    </row>
    <row r="60" spans="1:6" x14ac:dyDescent="0.25">
      <c r="A60">
        <f>COUNTIF('MSME policies catalogue'!Q6:Q248, "*Informal sector*")</f>
        <v>8</v>
      </c>
      <c r="B60" t="s">
        <v>94</v>
      </c>
      <c r="C60">
        <f>COUNTIFS('MSME policies catalogue'!Q6:Q248, "*Informal sector*", 'MSME policies catalogue'!C6:C248, Codes!C2)</f>
        <v>0</v>
      </c>
      <c r="D60">
        <f>COUNTIFS('MSME policies catalogue'!Q6:Q248, "*Informal sector*", 'MSME policies catalogue'!D6:D248, Codes!D2)</f>
        <v>0</v>
      </c>
      <c r="E60">
        <f>COUNTIFS('MSME policies catalogue'!Q6:Q248, "*Informal sector*", 'MSME policies catalogue'!T6:T248, "Yes")</f>
        <v>3</v>
      </c>
      <c r="F60">
        <f>COUNTIFS('MSME policies catalogue'!Q6:Q248, "*Informal sector*", 'MSME policies catalogue'!J6:J248,"Yes")</f>
        <v>3</v>
      </c>
    </row>
    <row r="61" spans="1:6" x14ac:dyDescent="0.25">
      <c r="A61">
        <f>COUNTIF('MSME policies catalogue'!Q6:Q248, "*Financial sector*")</f>
        <v>16</v>
      </c>
      <c r="B61" t="s">
        <v>100</v>
      </c>
      <c r="C61">
        <f>COUNTIFS('MSME policies catalogue'!Q6:Q248, "*Financial sector*", 'MSME policies catalogue'!C6:C248, Codes!C2)</f>
        <v>1</v>
      </c>
      <c r="D61">
        <f>COUNTIFS('MSME policies catalogue'!Q6:Q248, "*Financial sector*", 'MSME policies catalogue'!D6:D248, Codes!D2)</f>
        <v>0</v>
      </c>
      <c r="E61">
        <f>COUNTIFS('MSME policies catalogue'!Q6:Q248, "*Financial sector*", 'MSME policies catalogue'!T6:T248, "Yes")</f>
        <v>3</v>
      </c>
      <c r="F61">
        <f>COUNTIFS('MSME policies catalogue'!Q6:Q248, "*Financial sector*", 'MSME policies catalogue'!J6:J248,"Yes")</f>
        <v>6</v>
      </c>
    </row>
    <row r="62" spans="1:6" x14ac:dyDescent="0.25">
      <c r="A62">
        <f>COUNTIF('MSME policies catalogue'!Q6:Q248, "*Digital economy*")</f>
        <v>7</v>
      </c>
      <c r="B62" t="s">
        <v>106</v>
      </c>
      <c r="C62">
        <f>COUNTIFS('MSME policies catalogue'!Q6:Q248, "*Digital economy*", 'MSME policies catalogue'!C6:C248, Codes!C2)</f>
        <v>3</v>
      </c>
      <c r="D62">
        <f>COUNTIFS('MSME policies catalogue'!Q6:Q248, "*Digital economy*", 'MSME policies catalogue'!D6:D248, Codes!D2)</f>
        <v>0</v>
      </c>
      <c r="E62">
        <f>COUNTIFS('MSME policies catalogue'!Q6:Q248, "*Digital economy*", 'MSME policies catalogue'!T6:T248, "Yes")</f>
        <v>2</v>
      </c>
      <c r="F62">
        <f>COUNTIFS('MSME policies catalogue'!Q6:Q248, "*Digital economy*", 'MSME policies catalogue'!J6:J248,"Yes")</f>
        <v>3</v>
      </c>
    </row>
    <row r="63" spans="1:6" x14ac:dyDescent="0.25">
      <c r="A63">
        <f>COUNTIF('MSME policies catalogue'!Q6:Q248, "*Tourism*")</f>
        <v>18</v>
      </c>
      <c r="B63" t="s">
        <v>112</v>
      </c>
      <c r="C63">
        <f>COUNTIFS('MSME policies catalogue'!Q6:Q248, "*Tourism*", 'MSME policies catalogue'!C6:C248, Codes!C2)</f>
        <v>4</v>
      </c>
      <c r="D63">
        <f>COUNTIFS('MSME policies catalogue'!Q6:Q248, "*Tourism*", 'MSME policies catalogue'!D6:D248, Codes!D2)</f>
        <v>1</v>
      </c>
      <c r="E63">
        <f>COUNTIFS('MSME policies catalogue'!Q6:Q248, "*Tourism*", 'MSME policies catalogue'!T6:T248, "Yes")</f>
        <v>9</v>
      </c>
      <c r="F63">
        <f>COUNTIFS('MSME policies catalogue'!Q6:Q248, "*Tourism*", 'MSME policies catalogue'!J6:J248,"Yes")</f>
        <v>4</v>
      </c>
    </row>
    <row r="64" spans="1:6" x14ac:dyDescent="0.25">
      <c r="A64">
        <f>COUNTIF('MSME policies catalogue'!Q6:Q248, "*Transport*")</f>
        <v>4</v>
      </c>
      <c r="B64" t="s">
        <v>118</v>
      </c>
      <c r="C64">
        <f>COUNTIFS('MSME policies catalogue'!Q6:Q248, "*Transport*", 'MSME policies catalogue'!C6:C248, Codes!C2)</f>
        <v>1</v>
      </c>
      <c r="D64">
        <f>COUNTIFS('MSME policies catalogue'!Q6:Q248, "*Transport*", 'MSME policies catalogue'!D6:D248, Codes!D2)</f>
        <v>0</v>
      </c>
      <c r="E64">
        <f>COUNTIFS('MSME policies catalogue'!Q6:Q248, "*Transport*", 'MSME policies catalogue'!T6:T248, "Yes")</f>
        <v>2</v>
      </c>
      <c r="F64">
        <f>COUNTIFS('MSME policies catalogue'!Q6:Q248, "*Transport*", 'MSME policies catalogue'!J6:J248,"Yes")</f>
        <v>1</v>
      </c>
    </row>
    <row r="65" spans="1:6" x14ac:dyDescent="0.25">
      <c r="A65">
        <f>COUNTIF('MSME policies catalogue'!Q6:Q248, "*Energy*")</f>
        <v>5</v>
      </c>
      <c r="B65" t="s">
        <v>124</v>
      </c>
      <c r="C65">
        <f>COUNTIFS('MSME policies catalogue'!Q6:Q248, "*Energy*", 'MSME policies catalogue'!C6:C248, Codes!C2)</f>
        <v>0</v>
      </c>
      <c r="D65">
        <f>COUNTIFS('MSME policies catalogue'!Q6:Q248, "*Energy*", 'MSME policies catalogue'!D6:D248, Codes!D2)</f>
        <v>2</v>
      </c>
      <c r="E65">
        <f>COUNTIFS('MSME policies catalogue'!Q6:Q248, "*Energy*", 'MSME policies catalogue'!T6:T248, "Yes")</f>
        <v>1</v>
      </c>
      <c r="F65">
        <f>COUNTIFS('MSME policies catalogue'!Q6:Q248, "*Energy*", 'MSME policies catalogue'!J6:J248,"Yes")</f>
        <v>3</v>
      </c>
    </row>
    <row r="66" spans="1:6" x14ac:dyDescent="0.25">
      <c r="A66">
        <f>COUNTIF('MSME policies catalogue'!Q6:Q248, "*Health care*")</f>
        <v>14</v>
      </c>
      <c r="B66" t="s">
        <v>128</v>
      </c>
      <c r="C66">
        <f>COUNTIFS('MSME policies catalogue'!Q6:Q248, "*Health care*", 'MSME policies catalogue'!C6:C248, Codes!C2)</f>
        <v>4</v>
      </c>
      <c r="D66">
        <f>COUNTIFS('MSME policies catalogue'!Q6:Q248, "*Health care*", 'MSME policies catalogue'!D6:D248, Codes!D2)</f>
        <v>1</v>
      </c>
      <c r="E66">
        <f>COUNTIFS('MSME policies catalogue'!Q6:Q248, "*Health care*", 'MSME policies catalogue'!T6:T248, "Yes")</f>
        <v>7</v>
      </c>
      <c r="F66">
        <f>COUNTIFS('MSME policies catalogue'!Q6:Q248, "*Health care*", 'MSME policies catalogue'!J6:J248,"Yes")</f>
        <v>4</v>
      </c>
    </row>
    <row r="67" spans="1:6" x14ac:dyDescent="0.25">
      <c r="A67">
        <f>COUNTIF('MSME policies catalogue'!Q6:Q248, "*Construction*")</f>
        <v>12</v>
      </c>
      <c r="B67" t="s">
        <v>132</v>
      </c>
      <c r="C67">
        <f>COUNTIFS('MSME policies catalogue'!Q6:Q248, "*Construction*", 'MSME policies catalogue'!C6:C248, Codes!C2)</f>
        <v>2</v>
      </c>
      <c r="D67">
        <f>COUNTIFS('MSME policies catalogue'!Q6:Q248, "*Construction*", 'MSME policies catalogue'!D6:D248, Codes!D2)</f>
        <v>0</v>
      </c>
      <c r="E67">
        <f>COUNTIFS('MSME policies catalogue'!Q6:Q248, "*Construction*", 'MSME policies catalogue'!T6:T248, "Yes")</f>
        <v>0</v>
      </c>
      <c r="F67">
        <f>COUNTIFS('MSME policies catalogue'!Q6:Q248, "*Construction*", 'MSME policies catalogue'!J6:J248,"Yes")</f>
        <v>2</v>
      </c>
    </row>
    <row r="68" spans="1:6" x14ac:dyDescent="0.25">
      <c r="A68">
        <f>COUNTIF('MSME policies catalogue'!Q6:Q248, "*Mining*")</f>
        <v>11</v>
      </c>
      <c r="B68" t="s">
        <v>135</v>
      </c>
      <c r="C68">
        <f>COUNTIFS('MSME policies catalogue'!Q6:Q248, "*Mining*", 'MSME policies catalogue'!C6:C248, Codes!C2)</f>
        <v>2</v>
      </c>
      <c r="D68">
        <f>COUNTIFS('MSME policies catalogue'!Q6:Q248, "*Mining*", 'MSME policies catalogue'!D6:D248, Codes!D2)</f>
        <v>0</v>
      </c>
      <c r="E68">
        <f>COUNTIFS('MSME policies catalogue'!Q6:Q248, "*Mining*", 'MSME policies catalogue'!T6:T248, "Yes")</f>
        <v>2</v>
      </c>
      <c r="F68">
        <f>COUNTIFS('MSME policies catalogue'!Q6:Q248, "*Mining*", 'MSME policies catalogue'!J6:J248,"Yes")</f>
        <v>2</v>
      </c>
    </row>
    <row r="69" spans="1:6" x14ac:dyDescent="0.25">
      <c r="A69">
        <f>COUNTIF('MSME policies catalogue'!Q6:Q248, "*Services*")</f>
        <v>22</v>
      </c>
      <c r="B69" t="s">
        <v>137</v>
      </c>
      <c r="C69">
        <f>COUNTIFS('MSME policies catalogue'!Q6:Q248, "*Services*", 'MSME policies catalogue'!C6:C248, Codes!C2)</f>
        <v>5</v>
      </c>
      <c r="D69">
        <f>COUNTIFS('MSME policies catalogue'!Q6:Q248, "*Services*", 'MSME policies catalogue'!D6:D248, Codes!D2)</f>
        <v>0</v>
      </c>
      <c r="E69">
        <f>COUNTIFS('MSME policies catalogue'!Q6:Q248, "*Services*", 'MSME policies catalogue'!T6:T248, "Yes")</f>
        <v>4</v>
      </c>
      <c r="F69">
        <f>COUNTIFS('MSME policies catalogue'!Q6:Q248, "*Services*", 'MSME policies catalogue'!J6:J248,"Yes")</f>
        <v>10</v>
      </c>
    </row>
    <row r="71" spans="1:6" x14ac:dyDescent="0.25">
      <c r="C71" t="e">
        <f>COUNTIFS('MSME policies catalogue'!C6:C248,Codes!C2,'MSME policies catalogue'!Q6:Q248,"&lt;&gt;No information found",#REF!,"&lt;&gt;No specific target sector")</f>
        <v>#REF!</v>
      </c>
      <c r="D71">
        <f>COUNTIFS('MSME policies catalogue'!Q6:Q248,"&lt;&gt;No specific target sector", 'MSME policies catalogue'!Q6:Q248, "&lt;&gt;No information found")</f>
        <v>104</v>
      </c>
    </row>
    <row r="72" spans="1:6" ht="60" x14ac:dyDescent="0.25">
      <c r="A72" s="16" t="s">
        <v>232</v>
      </c>
      <c r="B72" t="s">
        <v>231</v>
      </c>
      <c r="C72" s="16" t="s">
        <v>226</v>
      </c>
      <c r="D72" s="16" t="s">
        <v>227</v>
      </c>
      <c r="E72" s="16" t="s">
        <v>228</v>
      </c>
      <c r="F72" s="16" t="s">
        <v>229</v>
      </c>
    </row>
    <row r="73" spans="1:6" x14ac:dyDescent="0.25">
      <c r="A73" s="15">
        <f>(COUNTIF('MSME policies catalogue'!Q6:Q248, "*Agriculture*"))/(COUNTIFS('MSME policies catalogue'!Q6:Q248,"&lt;&gt;No specific target sector", 'MSME policies catalogue'!Q6:Q248, "&lt;&gt;No information found"))</f>
        <v>0.70192307692307687</v>
      </c>
      <c r="B73" t="s">
        <v>76</v>
      </c>
      <c r="C73" s="15">
        <f>(COUNTIFS('MSME policies catalogue'!Q6:Q248, "*Agriculture*",'MSME policies catalogue'!C6:C248, Codes!C2 ))/COUNTIFS('MSME policies catalogue'!C6:C248, Codes!C2, 'MSME policies catalogue'!Q6:Q248,"&lt;&gt;No information found",'MSME policies catalogue'!Q6:Q248,"&lt;&gt;No specific target sector")</f>
        <v>0.65384615384615385</v>
      </c>
      <c r="D73" s="15">
        <f>(COUNTIFS('MSME policies catalogue'!Q6:Q248, "*Agriculture*",'MSME policies catalogue'!D6:D248, Codes!D2 ))/COUNTIFS('MSME policies catalogue'!D6:D248, Codes!D2, 'MSME policies catalogue'!Q6:Q248,"&lt;&gt;No information found",'MSME policies catalogue'!Q6:Q248,"&lt;&gt;No specific target sector")</f>
        <v>0.5</v>
      </c>
      <c r="E73" s="15">
        <f>(COUNTIFS('MSME policies catalogue'!Q6:Q248, "*Agriculture*", 'MSME policies catalogue'!T6:T248, "Yes"))/COUNTIFS('MSME policies catalogue'!Q6:Q248,"&lt;&gt;No information found",'MSME policies catalogue'!Q6:Q248,"&lt;&gt;No specific target sector", 'MSME policies catalogue'!T6:T248, "Yes")</f>
        <v>0.55000000000000004</v>
      </c>
      <c r="F73" s="15">
        <f>(COUNTIFS('MSME policies catalogue'!Q6:Q248, "*Agriculture*", 'MSME policies catalogue'!J6:J248, "Yes"))/(COUNTIFS('MSME policies catalogue'!Q6:Q248,"&lt;&gt;No information found",'MSME policies catalogue'!Q6:Q248,"&lt;&gt;No specific target sector",'MSME policies catalogue'!J6:J248, "&lt;&gt;Unsure", 'MSME policies catalogue'!J6:J248, "Yes"))</f>
        <v>0.72093023255813948</v>
      </c>
    </row>
    <row r="74" spans="1:6" x14ac:dyDescent="0.25">
      <c r="A74" s="15">
        <f>(COUNTIF('MSME policies catalogue'!Q6:Q248, "*Trade*"))/(COUNTIFS('MSME policies catalogue'!Q6:Q248,"&lt;&gt;No specific target sector", 'MSME policies catalogue'!Q6:Q248, "&lt;&gt;No information found"))</f>
        <v>0.22115384615384615</v>
      </c>
      <c r="B74" t="s">
        <v>82</v>
      </c>
      <c r="C74" s="15" t="e">
        <f>(COUNTIFS('MSME policies catalogue'!Q6:Q248, "*Trade*",'MSME policies catalogue'!C6:C248, Codes!C2 ))/COUNTIFS('MSME policies catalogue'!C6:C248, Codes!C2, 'MSME policies catalogue'!Q6:Q248,"&lt;&gt;No information found",#REF!,"&lt;&gt;No specific target sector")</f>
        <v>#REF!</v>
      </c>
      <c r="D74" s="15">
        <f>(COUNTIFS('MSME policies catalogue'!Q6:Q248, "*Trade*",'MSME policies catalogue'!D6:D248, Codes!D2 ))/COUNTIFS('MSME policies catalogue'!D6:D248, Codes!D2, 'MSME policies catalogue'!Q6:Q248,"&lt;&gt;No information found",'MSME policies catalogue'!Q6:Q248,"&lt;&gt;No specific target sector")</f>
        <v>0.25</v>
      </c>
      <c r="E74" s="15">
        <f>(COUNTIFS('MSME policies catalogue'!Q6:Q248, "*Trade*", 'MSME policies catalogue'!T6:T248, "Yes"))/COUNTIFS('MSME policies catalogue'!Q6:Q248,"&lt;&gt;No information found",'MSME policies catalogue'!Q6:Q248,"&lt;&gt;No specific target sector", 'MSME policies catalogue'!T6:T248, "Yes")</f>
        <v>0.2</v>
      </c>
      <c r="F74" s="15">
        <f>(COUNTIFS('MSME policies catalogue'!Q6:Q248, "*Trade*", 'MSME policies catalogue'!J6:J248, "Yes"))/(COUNTIFS('MSME policies catalogue'!Q6:Q248,"&lt;&gt;No information found",'MSME policies catalogue'!Q6:Q248,"&lt;&gt;No specific target sector",'MSME policies catalogue'!J6:J248, "&lt;&gt;Unsure", 'MSME policies catalogue'!J6:J248, "Yes"))</f>
        <v>0.20930232558139536</v>
      </c>
    </row>
    <row r="75" spans="1:6" x14ac:dyDescent="0.25">
      <c r="A75" s="15">
        <f>(COUNTIF('MSME policies catalogue'!Q6:Q248, "*Manufacturing*"))/(COUNTIFS('MSME policies catalogue'!Q6:Q248,"&lt;&gt;No specific target sector", 'MSME policies catalogue'!Q6:Q248, "&lt;&gt;No information found"))</f>
        <v>0.39423076923076922</v>
      </c>
      <c r="B75" t="s">
        <v>88</v>
      </c>
      <c r="C75" s="15">
        <f>(COUNTIFS('MSME policies catalogue'!Q6:Q248, "*Manufacturing*",'MSME policies catalogue'!C6:C248, Codes!C2 ))/COUNTIFS('MSME policies catalogue'!C6:C248, Codes!C2, 'MSME policies catalogue'!Q6:Q248,"&lt;&gt;No information found",'MSME policies catalogue'!Q6:Q248,"&lt;&gt;No specific target sector")</f>
        <v>0.34615384615384615</v>
      </c>
      <c r="D75" s="15">
        <f>(COUNTIFS('MSME policies catalogue'!Q6:Q248, "*Manufacturing*",'MSME policies catalogue'!D6:D248, Codes!D2 ))/COUNTIFS('MSME policies catalogue'!D6:D248, Codes!D2, 'MSME policies catalogue'!Q6:Q248,"&lt;&gt;No information found",'MSME policies catalogue'!Q6:Q248,"&lt;&gt;No specific target sector")</f>
        <v>0.5</v>
      </c>
      <c r="E75" s="15">
        <f>(COUNTIFS('MSME policies catalogue'!Q6:Q248, "*Manufacturing*", 'MSME policies catalogue'!T6:T248, "Yes"))/COUNTIFS('MSME policies catalogue'!Q6:Q248,"&lt;&gt;No information found",'MSME policies catalogue'!Q6:Q248,"&lt;&gt;No specific target sector", 'MSME policies catalogue'!T6:T248, "Yes")</f>
        <v>0.3</v>
      </c>
      <c r="F75" s="15">
        <f>(COUNTIFS('MSME policies catalogue'!Q6:Q248, "*Manufacturing*", 'MSME policies catalogue'!J6:J248, "Yes"))/(COUNTIFS('MSME policies catalogue'!Q6:Q248,"&lt;&gt;No information found",'MSME policies catalogue'!Q6:Q248,"&lt;&gt;No specific target sector",'MSME policies catalogue'!J6:J248, "&lt;&gt;Unsure", 'MSME policies catalogue'!J6:J248, "Yes"))</f>
        <v>0.27906976744186046</v>
      </c>
    </row>
    <row r="76" spans="1:6" x14ac:dyDescent="0.25">
      <c r="A76" s="15">
        <f>(COUNTIF('MSME policies catalogue'!Q6:Q248, "*Informal sector*"))/(COUNTIFS('MSME policies catalogue'!Q6:Q248,"&lt;&gt;No specific target sector", 'MSME policies catalogue'!Q6:Q248, "&lt;&gt;No information found"))</f>
        <v>7.6923076923076927E-2</v>
      </c>
      <c r="B76" t="s">
        <v>94</v>
      </c>
      <c r="C76" s="15">
        <f>(COUNTIFS('MSME policies catalogue'!Q6:Q248, "*Informal sector*",'MSME policies catalogue'!C6:C248, Codes!C2 ))/COUNTIFS('MSME policies catalogue'!C6:C248, Codes!C2, 'MSME policies catalogue'!Q6:Q248,"&lt;&gt;No information found",'MSME policies catalogue'!Q6:Q248,"&lt;&gt;No specific target sector")</f>
        <v>0</v>
      </c>
      <c r="D76" s="15">
        <f>(COUNTIFS('MSME policies catalogue'!Q6:Q248, "*Informal sector*",'MSME policies catalogue'!D6:D248, Codes!D2 ))/COUNTIFS('MSME policies catalogue'!D6:D248, Codes!D2, 'MSME policies catalogue'!Q6:Q248,"&lt;&gt;No information found",'MSME policies catalogue'!Q6:Q248,"&lt;&gt;No specific target sector")</f>
        <v>0</v>
      </c>
      <c r="E76" s="15">
        <f>(COUNTIFS('MSME policies catalogue'!Q6:Q248, "*Informal sector*", 'MSME policies catalogue'!T6:T248, "Yes"))/COUNTIFS('MSME policies catalogue'!Q6:Q248,"&lt;&gt;No information found",'MSME policies catalogue'!Q6:Q248,"&lt;&gt;No specific target sector", 'MSME policies catalogue'!T6:T248, "Yes")</f>
        <v>0.15</v>
      </c>
      <c r="F76" s="15">
        <f>(COUNTIFS('MSME policies catalogue'!Q6:Q248, "*Informal sector*", 'MSME policies catalogue'!J6:J248, "Yes"))/(COUNTIFS('MSME policies catalogue'!Q6:Q248,"&lt;&gt;No information found",'MSME policies catalogue'!Q6:Q248,"&lt;&gt;No specific target sector",'MSME policies catalogue'!J6:J248, "&lt;&gt;Unsure", 'MSME policies catalogue'!J6:J248, "Yes"))</f>
        <v>6.9767441860465115E-2</v>
      </c>
    </row>
    <row r="77" spans="1:6" x14ac:dyDescent="0.25">
      <c r="A77" s="15">
        <f>(COUNTIF('MSME policies catalogue'!Q6:Q248, "*Financial sector*"))/(COUNTIFS('MSME policies catalogue'!Q6:Q248,"&lt;&gt;No specific target sector", 'MSME policies catalogue'!Q6:Q248, "&lt;&gt;No information found"))</f>
        <v>0.15384615384615385</v>
      </c>
      <c r="B77" t="s">
        <v>100</v>
      </c>
      <c r="C77" s="15">
        <f>(COUNTIFS('MSME policies catalogue'!Q6:Q248, "*Financial sector*",'MSME policies catalogue'!C6:C248, Codes!C2 ))/COUNTIFS('MSME policies catalogue'!C6:C248, Codes!C2, 'MSME policies catalogue'!Q6:Q248,"&lt;&gt;No information found",'MSME policies catalogue'!Q6:Q248,"&lt;&gt;No specific target sector")</f>
        <v>3.8461538461538464E-2</v>
      </c>
      <c r="D77" s="15">
        <f>(COUNTIFS('MSME policies catalogue'!Q6:Q248, "*Financial sector*",'MSME policies catalogue'!D6:D248, Codes!D2 ))/COUNTIFS('MSME policies catalogue'!D6:D248, Codes!D2, 'MSME policies catalogue'!Q6:Q248,"&lt;&gt;No information found",'MSME policies catalogue'!Q6:Q248,"&lt;&gt;No specific target sector")</f>
        <v>0</v>
      </c>
      <c r="E77" s="15">
        <f>(COUNTIFS('MSME policies catalogue'!Q6:Q248, "*Financial sector*", 'MSME policies catalogue'!T6:T248, "Yes"))/COUNTIFS('MSME policies catalogue'!Q6:Q248,"&lt;&gt;No information found",'MSME policies catalogue'!Q6:Q248,"&lt;&gt;No specific target sector", 'MSME policies catalogue'!T6:T248, "Yes")</f>
        <v>0.15</v>
      </c>
      <c r="F77" s="15">
        <f>(COUNTIFS('MSME policies catalogue'!Q6:Q248, "*Financial sector*", 'MSME policies catalogue'!J6:J248, "Yes"))/(COUNTIFS('MSME policies catalogue'!Q6:Q248,"&lt;&gt;No information found",'MSME policies catalogue'!Q6:Q248,"&lt;&gt;No specific target sector",'MSME policies catalogue'!J6:J248, "&lt;&gt;Unsure", 'MSME policies catalogue'!J6:J248, "Yes"))</f>
        <v>0.13953488372093023</v>
      </c>
    </row>
    <row r="78" spans="1:6" x14ac:dyDescent="0.25">
      <c r="A78" s="15">
        <f>(COUNTIF('MSME policies catalogue'!Q6:Q248, "*Digital economy*"))/(COUNTIFS('MSME policies catalogue'!Q6:Q248,"&lt;&gt;No specific target sector", 'MSME policies catalogue'!Q6:Q248, "&lt;&gt;No information found"))</f>
        <v>6.7307692307692304E-2</v>
      </c>
      <c r="B78" t="s">
        <v>106</v>
      </c>
      <c r="C78" s="15">
        <f>(COUNTIFS('MSME policies catalogue'!Q6:Q248, "*Digital economy*",'MSME policies catalogue'!C6:C248, Codes!C2 ))/COUNTIFS('MSME policies catalogue'!C6:C248, Codes!C2, 'MSME policies catalogue'!Q6:Q248,"&lt;&gt;No information found",'MSME policies catalogue'!Q6:Q248,"&lt;&gt;No specific target sector")</f>
        <v>0.11538461538461539</v>
      </c>
      <c r="D78" s="15">
        <f>(COUNTIFS('MSME policies catalogue'!Q6:Q248, "*Digital economy*",'MSME policies catalogue'!D6:D248, Codes!D2 ))/COUNTIFS('MSME policies catalogue'!D6:D248, Codes!D2, 'MSME policies catalogue'!Q6:Q248,"&lt;&gt;No information found",'MSME policies catalogue'!Q6:Q248,"&lt;&gt;No specific target sector")</f>
        <v>0</v>
      </c>
      <c r="E78" s="15">
        <f>(COUNTIFS('MSME policies catalogue'!Q6:Q248, "*Digital economy*", 'MSME policies catalogue'!T6:T248, "Yes"))/COUNTIFS('MSME policies catalogue'!Q6:Q248,"&lt;&gt;No information found",'MSME policies catalogue'!Q6:Q248,"&lt;&gt;No specific target sector", 'MSME policies catalogue'!T6:T248, "Yes")</f>
        <v>0.1</v>
      </c>
      <c r="F78" s="15">
        <f>(COUNTIFS('MSME policies catalogue'!Q6:Q248, "*Digital economy*", 'MSME policies catalogue'!J6:J248, "Yes"))/(COUNTIFS('MSME policies catalogue'!Q6:Q248,"&lt;&gt;No information found",'MSME policies catalogue'!Q6:Q248,"&lt;&gt;No specific target sector",'MSME policies catalogue'!J6:J248, "&lt;&gt;Unsure", 'MSME policies catalogue'!J6:J248, "Yes"))</f>
        <v>6.9767441860465115E-2</v>
      </c>
    </row>
    <row r="79" spans="1:6" x14ac:dyDescent="0.25">
      <c r="A79" s="15">
        <f>(COUNTIF('MSME policies catalogue'!Q6:Q248, "*Tourism*"))/(COUNTIFS('MSME policies catalogue'!Q6:Q248,"&lt;&gt;No specific target sector", 'MSME policies catalogue'!Q6:Q248, "&lt;&gt;No information found"))</f>
        <v>0.17307692307692307</v>
      </c>
      <c r="B79" t="s">
        <v>112</v>
      </c>
      <c r="C79" s="15">
        <f>(COUNTIFS('MSME policies catalogue'!Q6:Q248, "*Tourism*",'MSME policies catalogue'!C6:C248, Codes!C2 ))/COUNTIFS('MSME policies catalogue'!C6:C248, Codes!C2, 'MSME policies catalogue'!Q6:Q248,"&lt;&gt;No information found",'MSME policies catalogue'!Q6:Q248,"&lt;&gt;No specific target sector")</f>
        <v>0.15384615384615385</v>
      </c>
      <c r="D79" s="15">
        <f>(COUNTIFS('MSME policies catalogue'!Q6:Q248, "*Tourism*",'MSME policies catalogue'!D6:D248, Codes!D2 ))/COUNTIFS('MSME policies catalogue'!D6:D248, Codes!D2, 'MSME policies catalogue'!Q6:Q248,"&lt;&gt;No information found",'MSME policies catalogue'!Q6:Q248,"&lt;&gt;No specific target sector")</f>
        <v>0.25</v>
      </c>
      <c r="E79" s="15">
        <f>(COUNTIFS('MSME policies catalogue'!Q6:Q248, "*Tourism*", 'MSME policies catalogue'!T6:T248, "Yes"))/COUNTIFS('MSME policies catalogue'!Q6:Q248,"&lt;&gt;No information found",'MSME policies catalogue'!Q6:Q248,"&lt;&gt;No specific target sector", 'MSME policies catalogue'!T6:T248, "Yes")</f>
        <v>0.45</v>
      </c>
      <c r="F79" s="15">
        <f>(COUNTIFS('MSME policies catalogue'!Q6:Q248, "*Tourism*", 'MSME policies catalogue'!J6:J248, "Yes"))/(COUNTIFS('MSME policies catalogue'!Q6:Q248,"&lt;&gt;No information found",'MSME policies catalogue'!Q6:Q248,"&lt;&gt;No specific target sector",'MSME policies catalogue'!J6:J248, "&lt;&gt;Unsure", 'MSME policies catalogue'!J6:J248, "Yes"))</f>
        <v>9.3023255813953487E-2</v>
      </c>
    </row>
    <row r="80" spans="1:6" x14ac:dyDescent="0.25">
      <c r="A80" s="15">
        <f>(COUNTIF('MSME policies catalogue'!Q6:Q248, "*Transport*"))/(COUNTIFS('MSME policies catalogue'!Q6:Q248,"&lt;&gt;No specific target sector", 'MSME policies catalogue'!Q6:Q248, "&lt;&gt;No information found"))</f>
        <v>3.8461538461538464E-2</v>
      </c>
      <c r="B80" t="s">
        <v>118</v>
      </c>
      <c r="C80" s="15">
        <f>(COUNTIFS('MSME policies catalogue'!Q6:Q248, "*Transport*",'MSME policies catalogue'!C6:C248, Codes!C2 ))/COUNTIFS('MSME policies catalogue'!C6:C248, Codes!C2, 'MSME policies catalogue'!Q6:Q248,"&lt;&gt;No information found",'MSME policies catalogue'!Q6:Q248,"&lt;&gt;No specific target sector")</f>
        <v>3.8461538461538464E-2</v>
      </c>
      <c r="D80" s="15">
        <f>(COUNTIFS('MSME policies catalogue'!Q6:Q248, "*Transport*",'MSME policies catalogue'!D6:D248, Codes!D2 ))/COUNTIFS('MSME policies catalogue'!D6:D248, Codes!D2, 'MSME policies catalogue'!Q6:Q248,"&lt;&gt;No information found",'MSME policies catalogue'!Q6:Q248,"&lt;&gt;No specific target sector")</f>
        <v>0</v>
      </c>
      <c r="E80" s="15">
        <f>(COUNTIFS('MSME policies catalogue'!Q6:Q248, "*Transport*", 'MSME policies catalogue'!T6:T248, "Yes"))/COUNTIFS('MSME policies catalogue'!Q6:Q248,"&lt;&gt;No information found",'MSME policies catalogue'!Q6:Q248,"&lt;&gt;No specific target sector", 'MSME policies catalogue'!T6:T248, "Yes")</f>
        <v>0.1</v>
      </c>
      <c r="F80" s="15">
        <f>(COUNTIFS('MSME policies catalogue'!Q6:Q248, "*Transport*", 'MSME policies catalogue'!J6:J248, "Yes"))/(COUNTIFS('MSME policies catalogue'!Q6:Q248,"&lt;&gt;No information found",'MSME policies catalogue'!Q6:Q248,"&lt;&gt;No specific target sector",'MSME policies catalogue'!J6:J248, "&lt;&gt;Unsure", 'MSME policies catalogue'!J6:J248, "Yes"))</f>
        <v>2.3255813953488372E-2</v>
      </c>
    </row>
    <row r="81" spans="1:6" x14ac:dyDescent="0.25">
      <c r="A81" s="15">
        <f>(COUNTIF('MSME policies catalogue'!Q6:Q248, "*Energy*"))/(COUNTIFS('MSME policies catalogue'!Q6:Q248,"&lt;&gt;No specific target sector", 'MSME policies catalogue'!Q6:Q248, "&lt;&gt;No information found"))</f>
        <v>4.807692307692308E-2</v>
      </c>
      <c r="B81" t="s">
        <v>124</v>
      </c>
      <c r="C81" s="15">
        <f>(COUNTIFS('MSME policies catalogue'!Q6:Q248, "*Energy*",'MSME policies catalogue'!C6:C248, Codes!C2 ))/COUNTIFS('MSME policies catalogue'!C6:C248, Codes!C2, 'MSME policies catalogue'!Q6:Q248,"&lt;&gt;No information found",'MSME policies catalogue'!Q6:Q248,"&lt;&gt;No specific target sector")</f>
        <v>0</v>
      </c>
      <c r="D81" s="15">
        <f>(COUNTIFS('MSME policies catalogue'!Q6:Q248, "*Energy*",'MSME policies catalogue'!D6:D248, Codes!D2 ))/COUNTIFS('MSME policies catalogue'!D6:D248, Codes!D2, 'MSME policies catalogue'!Q6:Q248,"&lt;&gt;No information found",'MSME policies catalogue'!Q6:Q248,"&lt;&gt;No specific target sector")</f>
        <v>0.5</v>
      </c>
      <c r="E81" s="15">
        <f>(COUNTIFS('MSME policies catalogue'!Q6:Q248, "*Energy*", 'MSME policies catalogue'!T6:T248, "Yes"))/COUNTIFS('MSME policies catalogue'!Q6:Q248,"&lt;&gt;No information found",'MSME policies catalogue'!Q6:Q248,"&lt;&gt;No specific target sector", 'MSME policies catalogue'!T6:T248, "Yes")</f>
        <v>0.05</v>
      </c>
      <c r="F81" s="15">
        <f>(COUNTIFS('MSME policies catalogue'!Q6:Q248, "*Energy*", 'MSME policies catalogue'!J6:J248, "Yes"))/(COUNTIFS('MSME policies catalogue'!Q6:Q248,"&lt;&gt;No information found",'MSME policies catalogue'!Q6:Q248,"&lt;&gt;No specific target sector",'MSME policies catalogue'!J6:J248, "&lt;&gt;Unsure", 'MSME policies catalogue'!J6:J248, "Yes"))</f>
        <v>6.9767441860465115E-2</v>
      </c>
    </row>
    <row r="82" spans="1:6" x14ac:dyDescent="0.25">
      <c r="A82" s="15">
        <f>(COUNTIF('MSME policies catalogue'!Q6:Q248, "*Health care*"))/(COUNTIFS('MSME policies catalogue'!Q6:Q248,"&lt;&gt;No specific target sector", 'MSME policies catalogue'!Q6:Q248, "&lt;&gt;No information found"))</f>
        <v>0.13461538461538461</v>
      </c>
      <c r="B82" t="s">
        <v>128</v>
      </c>
      <c r="C82" s="15">
        <f>(COUNTIFS('MSME policies catalogue'!Q6:Q248, "*Health care*",'MSME policies catalogue'!C6:C248, Codes!C2 ))/COUNTIFS('MSME policies catalogue'!C6:C248, Codes!C2, 'MSME policies catalogue'!Q6:Q248,"&lt;&gt;No information found",'MSME policies catalogue'!Q6:Q248,"&lt;&gt;No specific target sector")</f>
        <v>0.15384615384615385</v>
      </c>
      <c r="D82" s="15">
        <f>(COUNTIFS('MSME policies catalogue'!Q6:Q248, "*Health care*",'MSME policies catalogue'!D6:D248, Codes!D2 ))/COUNTIFS('MSME policies catalogue'!D6:D248, Codes!D2, 'MSME policies catalogue'!Q6:Q248,"&lt;&gt;No information found",'MSME policies catalogue'!Q6:Q248,"&lt;&gt;No specific target sector")</f>
        <v>0.25</v>
      </c>
      <c r="E82" s="15">
        <f>(COUNTIFS('MSME policies catalogue'!Q6:Q248, "*Health care*", 'MSME policies catalogue'!T6:T248, "Yes"))/COUNTIFS('MSME policies catalogue'!Q6:Q248,"&lt;&gt;No information found",'MSME policies catalogue'!Q6:Q248,"&lt;&gt;No specific target sector", 'MSME policies catalogue'!T6:T248, "Yes")</f>
        <v>0.35</v>
      </c>
      <c r="F82" s="15">
        <f>(COUNTIFS('MSME policies catalogue'!Q6:Q248, "*Health care*", 'MSME policies catalogue'!J6:J248, "Yes"))/(COUNTIFS('MSME policies catalogue'!Q6:Q248,"&lt;&gt;No information found",'MSME policies catalogue'!Q6:Q248,"&lt;&gt;No specific target sector",'MSME policies catalogue'!J6:J248, "&lt;&gt;Unsure", 'MSME policies catalogue'!J6:J248, "Yes"))</f>
        <v>9.3023255813953487E-2</v>
      </c>
    </row>
    <row r="83" spans="1:6" x14ac:dyDescent="0.25">
      <c r="A83" s="15">
        <f>(COUNTIF('MSME policies catalogue'!Q6:Q248, "*Construction*"))/(COUNTIFS('MSME policies catalogue'!Q6:Q248,"&lt;&gt;No specific target sector", 'MSME policies catalogue'!Q6:Q248, "&lt;&gt;No information found"))</f>
        <v>0.11538461538461539</v>
      </c>
      <c r="B83" t="s">
        <v>132</v>
      </c>
      <c r="C83" s="15">
        <f>(COUNTIFS('MSME policies catalogue'!Q6:Q248, "*Construction*",'MSME policies catalogue'!C6:C248, Codes!C2 ))/COUNTIFS('MSME policies catalogue'!C6:C248, Codes!C2, 'MSME policies catalogue'!Q6:Q248,"&lt;&gt;No information found",'MSME policies catalogue'!Q6:Q248,"&lt;&gt;No specific target sector")</f>
        <v>7.6923076923076927E-2</v>
      </c>
      <c r="D83" s="15">
        <f>(COUNTIFS('MSME policies catalogue'!Q6:Q248, "*Construction*",'MSME policies catalogue'!D6:D248, Codes!D2 ))/COUNTIFS('MSME policies catalogue'!D6:D248, Codes!D2, 'MSME policies catalogue'!Q6:Q248,"&lt;&gt;No information found",'MSME policies catalogue'!Q6:Q248,"&lt;&gt;No specific target sector")</f>
        <v>0</v>
      </c>
      <c r="E83" s="15">
        <f>(COUNTIFS('MSME policies catalogue'!Q6:Q248, "*Construction*", 'MSME policies catalogue'!T6:T248, "Yes"))/COUNTIFS('MSME policies catalogue'!Q6:Q248,"&lt;&gt;No information found",'MSME policies catalogue'!Q6:Q248,"&lt;&gt;No specific target sector", 'MSME policies catalogue'!T6:T248, "Yes")</f>
        <v>0</v>
      </c>
      <c r="F83" s="15">
        <f>(COUNTIFS('MSME policies catalogue'!Q6:Q248, "*Construction*", 'MSME policies catalogue'!J6:J248, "Yes"))/(COUNTIFS('MSME policies catalogue'!Q6:Q248,"&lt;&gt;No information found",'MSME policies catalogue'!Q6:Q248,"&lt;&gt;No specific target sector",'MSME policies catalogue'!J6:J248, "&lt;&gt;Unsure", 'MSME policies catalogue'!J6:J248, "Yes"))</f>
        <v>4.6511627906976744E-2</v>
      </c>
    </row>
    <row r="84" spans="1:6" x14ac:dyDescent="0.25">
      <c r="A84" s="15">
        <f>(COUNTIF('MSME policies catalogue'!Q6:Q248, "*Mining*"))/(COUNTIFS('MSME policies catalogue'!Q6:Q248,"&lt;&gt;No specific target sector", 'MSME policies catalogue'!Q6:Q248, "&lt;&gt;No information found"))</f>
        <v>0.10576923076923077</v>
      </c>
      <c r="B84" t="s">
        <v>135</v>
      </c>
      <c r="C84" s="15">
        <f>(COUNTIFS('MSME policies catalogue'!Q6:Q248, "*Mining*",'MSME policies catalogue'!C6:C248, Codes!C2 ))/COUNTIFS('MSME policies catalogue'!C6:C248, Codes!C2, 'MSME policies catalogue'!Q6:Q248,"&lt;&gt;No information found",'MSME policies catalogue'!Q6:Q248,"&lt;&gt;No specific target sector")</f>
        <v>7.6923076923076927E-2</v>
      </c>
      <c r="D84" s="15">
        <f>(COUNTIFS('MSME policies catalogue'!Q6:Q248, "*Mining*",'MSME policies catalogue'!D6:D248, Codes!D2 ))/COUNTIFS('MSME policies catalogue'!D6:D248, Codes!D2, 'MSME policies catalogue'!Q6:Q248,"&lt;&gt;No information found",'MSME policies catalogue'!Q6:Q248,"&lt;&gt;No specific target sector")</f>
        <v>0</v>
      </c>
      <c r="E84" s="15">
        <f>(COUNTIFS('MSME policies catalogue'!Q6:Q248, "*Mining*", 'MSME policies catalogue'!T6:T248, "Yes"))/COUNTIFS('MSME policies catalogue'!Q6:Q248,"&lt;&gt;No information found",'MSME policies catalogue'!Q6:Q248,"&lt;&gt;No specific target sector", 'MSME policies catalogue'!T6:T248, "Yes")</f>
        <v>0.1</v>
      </c>
      <c r="F84" s="15">
        <f>(COUNTIFS('MSME policies catalogue'!Q6:Q248, "*Mining*", 'MSME policies catalogue'!J6:J248, "Yes"))/(COUNTIFS('MSME policies catalogue'!Q6:Q248,"&lt;&gt;No information found",'MSME policies catalogue'!Q6:Q248,"&lt;&gt;No specific target sector",'MSME policies catalogue'!J6:J248, "&lt;&gt;Unsure", 'MSME policies catalogue'!J6:J248, "Yes"))</f>
        <v>4.6511627906976744E-2</v>
      </c>
    </row>
    <row r="85" spans="1:6" x14ac:dyDescent="0.25">
      <c r="A85" s="15">
        <f>(COUNTIF('MSME policies catalogue'!Q6:Q248, "*Services*"))/(COUNTIFS('MSME policies catalogue'!Q6:Q248,"&lt;&gt;No specific target sector", 'MSME policies catalogue'!Q6:Q248, "&lt;&gt;No information found"))</f>
        <v>0.21153846153846154</v>
      </c>
      <c r="B85" t="s">
        <v>137</v>
      </c>
      <c r="C85" s="15">
        <f>(COUNTIFS('MSME policies catalogue'!Q6:Q248, "*Services*",'MSME policies catalogue'!C6:C248, Codes!C2 ))/COUNTIFS('MSME policies catalogue'!C6:C248, Codes!C2, 'MSME policies catalogue'!Q6:Q248,"&lt;&gt;No information found",'MSME policies catalogue'!Q6:Q248,"&lt;&gt;No specific target sector")</f>
        <v>0.19230769230769232</v>
      </c>
      <c r="D85" s="15">
        <f>(COUNTIFS('MSME policies catalogue'!Q6:Q248, "*Services*",'MSME policies catalogue'!D6:D248, Codes!D2 ))/COUNTIFS('MSME policies catalogue'!D6:D248, Codes!D2, 'MSME policies catalogue'!Q6:Q248,"&lt;&gt;No information found",'MSME policies catalogue'!Q6:Q248,"&lt;&gt;No specific target sector")</f>
        <v>0</v>
      </c>
      <c r="E85" s="15">
        <f>(COUNTIFS('MSME policies catalogue'!Q6:Q248, "*Services*", 'MSME policies catalogue'!T6:T248, "Yes"))/COUNTIFS('MSME policies catalogue'!Q6:Q248,"&lt;&gt;No information found",'MSME policies catalogue'!Q6:Q248,"&lt;&gt;No specific target sector", 'MSME policies catalogue'!T6:T248, "Yes")</f>
        <v>0.2</v>
      </c>
      <c r="F85" s="15">
        <f>(COUNTIFS('MSME policies catalogue'!Q6:Q248, "*Services*", 'MSME policies catalogue'!J6:J248, "Yes"))/(COUNTIFS('MSME policies catalogue'!Q6:Q248,"&lt;&gt;No information found",'MSME policies catalogue'!Q6:Q248,"&lt;&gt;No specific target sector",'MSME policies catalogue'!J6:J248, "&lt;&gt;Unsure", 'MSME policies catalogue'!J6:J248, "Yes"))</f>
        <v>0.23255813953488372</v>
      </c>
    </row>
    <row r="86" spans="1:6" x14ac:dyDescent="0.25">
      <c r="F86" s="15"/>
    </row>
    <row r="89" spans="1:6" ht="46.5" customHeight="1" x14ac:dyDescent="0.25">
      <c r="A89" s="16" t="s">
        <v>194</v>
      </c>
      <c r="B89" t="s">
        <v>190</v>
      </c>
      <c r="C89" s="16" t="s">
        <v>221</v>
      </c>
      <c r="D89" s="16" t="s">
        <v>222</v>
      </c>
      <c r="E89" s="16" t="s">
        <v>223</v>
      </c>
      <c r="F89" s="16" t="s">
        <v>224</v>
      </c>
    </row>
    <row r="90" spans="1:6" x14ac:dyDescent="0.25">
      <c r="A90">
        <f>COUNTIF('MSME policies catalogue'!N6:N248, "*Credit guarantee*")</f>
        <v>70</v>
      </c>
      <c r="B90" t="s">
        <v>73</v>
      </c>
      <c r="C90">
        <f>COUNTIFS('MSME policies catalogue'!N6:N248, "*Credit guarantee*", 'MSME policies catalogue'!C6:C248, Codes!C2)</f>
        <v>13</v>
      </c>
      <c r="D90">
        <f>COUNTIFS('MSME policies catalogue'!N6:N248, "*Credit guarantee*", 'MSME policies catalogue'!D6:D248, Codes!D2)</f>
        <v>3</v>
      </c>
      <c r="E90">
        <f>COUNTIFS('MSME policies catalogue'!N6:N248, "*Credit guarantee*", 'MSME policies catalogue'!T6:T248, "Yes")</f>
        <v>11</v>
      </c>
      <c r="F90">
        <f>COUNTIFS('MSME policies catalogue'!N6:N248, "*Credit guarantee*", 'MSME policies catalogue'!J6:J248,"Yes")</f>
        <v>28</v>
      </c>
    </row>
    <row r="91" spans="1:6" x14ac:dyDescent="0.25">
      <c r="A91">
        <f>COUNTIF('MSME policies catalogue'!N6:N248, "*Direct lending*")</f>
        <v>79</v>
      </c>
      <c r="B91" t="s">
        <v>79</v>
      </c>
      <c r="C91">
        <f>COUNTIFS('MSME policies catalogue'!N6:N248, "*Direct lending*", 'MSME policies catalogue'!C6:C248, Codes!C2)</f>
        <v>21</v>
      </c>
      <c r="D91">
        <f>COUNTIFS('MSME policies catalogue'!N6:N248, "*Direct lending*", 'MSME policies catalogue'!D6:D248, Codes!D2)</f>
        <v>4</v>
      </c>
      <c r="E91">
        <f>COUNTIFS('MSME policies catalogue'!N6:N248, "*Direct lending*", 'MSME policies catalogue'!T6:T248, "Yes")</f>
        <v>15</v>
      </c>
      <c r="F91">
        <f>COUNTIFS('MSME policies catalogue'!N6:N248, "*Direct lending*", 'MSME policies catalogue'!J6:J248,"Yes")</f>
        <v>29</v>
      </c>
    </row>
    <row r="92" spans="1:6" x14ac:dyDescent="0.25">
      <c r="A92">
        <f>COUNTIF('MSME policies catalogue'!N6:N248, "*Grants and subsidies*")</f>
        <v>48</v>
      </c>
      <c r="B92" t="s">
        <v>85</v>
      </c>
      <c r="C92">
        <f>COUNTIFS('MSME policies catalogue'!N6:N248, "*Grants and subsidies*", 'MSME policies catalogue'!C6:C248, Codes!C2)</f>
        <v>7</v>
      </c>
      <c r="D92">
        <f>COUNTIFS('MSME policies catalogue'!N6:N248, "*Grants and subsidies*", 'MSME policies catalogue'!D6:D248, Codes!D2)</f>
        <v>4</v>
      </c>
      <c r="E92">
        <f>COUNTIFS('MSME policies catalogue'!N6:N248, "*Grants and subsidies*", 'MSME policies catalogue'!T6:T248, "Yes")</f>
        <v>13</v>
      </c>
      <c r="F92">
        <f>COUNTIFS('MSME policies catalogue'!N6:N248, "*Grants and subsidies*", 'MSME policies catalogue'!J6:J248,"Yes")</f>
        <v>24</v>
      </c>
    </row>
    <row r="93" spans="1:6" x14ac:dyDescent="0.25">
      <c r="A93">
        <f>COUNTIF('MSME policies catalogue'!N6:N248, "*Early-stage finance*")</f>
        <v>23</v>
      </c>
      <c r="B93" t="s">
        <v>91</v>
      </c>
      <c r="C93">
        <f>COUNTIFS('MSME policies catalogue'!N6:N248, "*Early-stage finance*", 'MSME policies catalogue'!C6:C248, Codes!C2)</f>
        <v>5</v>
      </c>
      <c r="D93">
        <f>COUNTIFS('MSME policies catalogue'!N6:N248, "*Early-stage finance*", 'MSME policies catalogue'!D6:D248, Codes!D2)</f>
        <v>3</v>
      </c>
      <c r="E93">
        <f>COUNTIFS('MSME policies catalogue'!N6:N248, "*Early-stage finance*", 'MSME policies catalogue'!T6:T248, "Yes")</f>
        <v>0</v>
      </c>
      <c r="F93">
        <f>COUNTIFS('MSME policies catalogue'!N6:N248, "*Early-stage finance*", 'MSME policies catalogue'!J6:J248,"Yes")</f>
        <v>12</v>
      </c>
    </row>
    <row r="94" spans="1:6" x14ac:dyDescent="0.25">
      <c r="A94">
        <f>COUNTIF('MSME policies catalogue'!N6:N248, "*Trade/supply chain finance*")</f>
        <v>7</v>
      </c>
      <c r="B94" t="s">
        <v>97</v>
      </c>
      <c r="C94">
        <f>COUNTIFS('MSME policies catalogue'!N6:N248, "*Trade/supply chain finance*", 'MSME policies catalogue'!C6:C248, Codes!C2)</f>
        <v>0</v>
      </c>
      <c r="D94">
        <f>COUNTIFS('MSME policies catalogue'!N6:N248, "*Trade/supply chain finance*", 'MSME policies catalogue'!D6:D248, Codes!D2)</f>
        <v>0</v>
      </c>
      <c r="E94">
        <f>COUNTIFS('MSME policies catalogue'!N6:N248, "*Trade/supply chain finance*", 'MSME policies catalogue'!T6:T248, "Yes")</f>
        <v>0</v>
      </c>
      <c r="F94">
        <f>COUNTIFS('MSME policies catalogue'!N6:N248, "*Trade/supply chain finance*", 'MSME policies catalogue'!J6:J248,"Yes")</f>
        <v>3</v>
      </c>
    </row>
    <row r="95" spans="1:6" x14ac:dyDescent="0.25">
      <c r="A95">
        <f>COUNTIF('MSME policies catalogue'!N6:N248, "*Equity investment or incentives*")</f>
        <v>17</v>
      </c>
      <c r="B95" t="s">
        <v>103</v>
      </c>
      <c r="C95">
        <f>COUNTIFS('MSME policies catalogue'!N6:N248, "*Equity investment or incentives*", 'MSME policies catalogue'!C6:C248, Codes!C2)</f>
        <v>6</v>
      </c>
      <c r="D95">
        <f>COUNTIFS('MSME policies catalogue'!N6:N248, "*Equity investment or incentives*", 'MSME policies catalogue'!D6:D248, Codes!D2)</f>
        <v>0</v>
      </c>
      <c r="E95">
        <f>COUNTIFS('MSME policies catalogue'!N6:N248, "*Equity investment or incentives*", 'MSME policies catalogue'!T6:T248, "Yes")</f>
        <v>2</v>
      </c>
      <c r="F95">
        <f>COUNTIFS('MSME policies catalogue'!N6:N248, "*Equity investment or incentives*", 'MSME policies catalogue'!J6:J248,"Yes")</f>
        <v>9</v>
      </c>
    </row>
    <row r="96" spans="1:6" x14ac:dyDescent="0.25">
      <c r="A96">
        <f>COUNTIF('MSME policies catalogue'!N6:N248, "*Deferral/restructuring of payments*")</f>
        <v>8</v>
      </c>
      <c r="B96" t="s">
        <v>109</v>
      </c>
      <c r="C96">
        <f>COUNTIFS('MSME policies catalogue'!N6:N248, "*Deferral/restructuring of payments*", 'MSME policies catalogue'!C6:C248, Codes!C2)</f>
        <v>1</v>
      </c>
      <c r="D96">
        <f>COUNTIFS('MSME policies catalogue'!N6:N248, "*Deferral/restructuring of payments*", 'MSME policies catalogue'!D6:D248, Codes!D2)</f>
        <v>0</v>
      </c>
      <c r="E96">
        <f>COUNTIFS('MSME policies catalogue'!N6:N248, "*Deferral/restructuring of payments*", 'MSME policies catalogue'!T6:T248, "Yes")</f>
        <v>6</v>
      </c>
      <c r="F96">
        <f>COUNTIFS('MSME policies catalogue'!N6:N248, "*Deferral/restructuring of payments*", 'MSME policies catalogue'!J6:J248,"Yes")</f>
        <v>2</v>
      </c>
    </row>
    <row r="97" spans="1:6" x14ac:dyDescent="0.25">
      <c r="A97">
        <f>COUNTIF('MSME policies catalogue'!N6:N248, "*MSME procurement*")</f>
        <v>11</v>
      </c>
      <c r="B97" t="s">
        <v>115</v>
      </c>
      <c r="C97">
        <f>COUNTIFS('MSME policies catalogue'!N6:N248, "*MSME procurement*", 'MSME policies catalogue'!C6:C248, Codes!C2)</f>
        <v>5</v>
      </c>
      <c r="D97">
        <f>COUNTIFS('MSME policies catalogue'!N6:N248, "*MSME procurement*", 'MSME policies catalogue'!D6:D248, Codes!D2)</f>
        <v>0</v>
      </c>
      <c r="E97">
        <f>COUNTIFS('MSME policies catalogue'!N6:N248, "*MSME procurement*", 'MSME policies catalogue'!T6:T248, "Yes")</f>
        <v>2</v>
      </c>
      <c r="F97">
        <f>COUNTIFS('MSME policies catalogue'!N6:N248, "*MSME procurement*", 'MSME policies catalogue'!J6:J248,"Yes")</f>
        <v>4</v>
      </c>
    </row>
    <row r="98" spans="1:6" x14ac:dyDescent="0.25">
      <c r="A98">
        <f>COUNTIF('MSME policies catalogue'!N6:N248, "*Enabling infrastructure*")</f>
        <v>144</v>
      </c>
      <c r="B98" t="s">
        <v>121</v>
      </c>
      <c r="C98">
        <f>COUNTIFS('MSME policies catalogue'!N6:N248, "*Enabling infrastructure*", 'MSME policies catalogue'!C6:C248, Codes!C2)</f>
        <v>40</v>
      </c>
      <c r="D98">
        <f>COUNTIFS('MSME policies catalogue'!N6:N248, "*Enabling infrastructure*", 'MSME policies catalogue'!D6:D248, Codes!D2)</f>
        <v>3</v>
      </c>
      <c r="E98">
        <f>COUNTIFS('MSME policies catalogue'!N6:N248, "*Enabling infrastructure*", 'MSME policies catalogue'!T6:T248, "Yes")</f>
        <v>12</v>
      </c>
      <c r="F98">
        <f>COUNTIFS('MSME policies catalogue'!N6:N248, "*Enabling infrastructure*", 'MSME policies catalogue'!J6:J248,"Yes")</f>
        <v>71</v>
      </c>
    </row>
    <row r="101" spans="1:6" ht="30" x14ac:dyDescent="0.25">
      <c r="A101" s="16" t="s">
        <v>233</v>
      </c>
      <c r="B101" t="s">
        <v>234</v>
      </c>
      <c r="C101" s="16" t="s">
        <v>226</v>
      </c>
      <c r="D101" s="16" t="s">
        <v>227</v>
      </c>
      <c r="E101" s="16" t="s">
        <v>228</v>
      </c>
      <c r="F101" s="16" t="s">
        <v>229</v>
      </c>
    </row>
    <row r="102" spans="1:6" x14ac:dyDescent="0.25">
      <c r="A102" s="15">
        <f>(COUNTIF('MSME policies catalogue'!N6:N248, "*Credit guarantee*"))/(COUNTIFS('MSME policies catalogue'!N6:N248,"&lt;&gt;No specific target sector", 'MSME policies catalogue'!N6:N248, "&lt;&gt;No information found"))</f>
        <v>0.2978723404255319</v>
      </c>
      <c r="B102" t="s">
        <v>73</v>
      </c>
      <c r="C102" s="15">
        <f>(COUNTIFS('MSME policies catalogue'!N6:N248, "*Credit guarantee*",'MSME policies catalogue'!C6:C248, Codes!C2 ))/COUNTIFS('MSME policies catalogue'!C6:C248, Codes!C2, 'MSME policies catalogue'!N6:N248,"&lt;&gt;No information found")</f>
        <v>0.22413793103448276</v>
      </c>
      <c r="D102" s="15">
        <f>(COUNTIFS('MSME policies catalogue'!N6:N248, "*Credit guarantee*",'MSME policies catalogue'!D6:D248, Codes!D2 ))/COUNTIFS('MSME policies catalogue'!D6:D248, Codes!D2, 'MSME policies catalogue'!N6:N248,"&lt;&gt;No information found")</f>
        <v>0.27272727272727271</v>
      </c>
      <c r="E102" s="15" t="e">
        <f>(COUNTIFS('MSME policies catalogue'!N6:N248, "*Credit guarantee*", 'MSME policies catalogue'!T6:T248, "Yes"))/(COUNTIFS(#REF!,"&lt;&gt;No specific target sector",'MSME policies catalogue'!N6:N248, "&lt;&gt;No information found", 'MSME policies catalogue'!T6:T248, "Yes" ))</f>
        <v>#REF!</v>
      </c>
      <c r="F102" s="15">
        <f>(COUNTIFS('MSME policies catalogue'!N6:N248, "*Credit guarantee*", 'MSME policies catalogue'!J6:J248, "Yes"))/(COUNTIFS('MSME policies catalogue'!N6:N248,"&lt;&gt;No information found",'MSME policies catalogue'!N6:N248,"&lt;&gt;No specific target sector",'MSME policies catalogue'!J6:J248, "&lt;&gt;Unsure",'MSME policies catalogue'!J6:J248, "Yes" ))</f>
        <v>0.27450980392156865</v>
      </c>
    </row>
    <row r="103" spans="1:6" x14ac:dyDescent="0.25">
      <c r="A103" s="15">
        <f>(COUNTIF('MSME policies catalogue'!N6:N248, "*Direct lending*"))/(COUNTIFS('MSME policies catalogue'!N6:N248,"&lt;&gt;No specific target sector", 'MSME policies catalogue'!N6:N248, "&lt;&gt;No information found"))</f>
        <v>0.33617021276595743</v>
      </c>
      <c r="B103" t="s">
        <v>79</v>
      </c>
      <c r="C103" s="15">
        <f>(COUNTIFS('MSME policies catalogue'!N6:N248, "*Direct lending*",'MSME policies catalogue'!C6:C248, Codes!C2 ))/COUNTIFS('MSME policies catalogue'!C6:C248, Codes!C2, 'MSME policies catalogue'!N6:N248,"&lt;&gt;No information found")</f>
        <v>0.36206896551724138</v>
      </c>
      <c r="D103" s="15">
        <f>(COUNTIFS('MSME policies catalogue'!N6:N248, "*Direct lending*",'MSME policies catalogue'!D6:D248, Codes!D2 ))/COUNTIFS('MSME policies catalogue'!D6:D248, Codes!D2, 'MSME policies catalogue'!N6:N248,"&lt;&gt;No information found")</f>
        <v>0.36363636363636365</v>
      </c>
      <c r="E103" s="15" t="e">
        <f>(COUNTIFS('MSME policies catalogue'!N6:N248, "*Direct lending*", 'MSME policies catalogue'!T6:T248, "Yes"))/(COUNTIFS(#REF!,"&lt;&gt;No specific target sector",'MSME policies catalogue'!N6:N248, "&lt;&gt;No information found", 'MSME policies catalogue'!T6:T248, "Yes" ))</f>
        <v>#REF!</v>
      </c>
      <c r="F103" s="15">
        <f>(COUNTIFS('MSME policies catalogue'!N6:N248, "*Direct lending*", 'MSME policies catalogue'!J6:J248, "Yes"))/(COUNTIFS('MSME policies catalogue'!N6:N248,"&lt;&gt;No information found",'MSME policies catalogue'!N6:N248,"&lt;&gt;No specific target sector",'MSME policies catalogue'!J6:J248, "&lt;&gt;Unsure",'MSME policies catalogue'!J6:J248, "Yes" ))</f>
        <v>0.28431372549019607</v>
      </c>
    </row>
    <row r="104" spans="1:6" x14ac:dyDescent="0.25">
      <c r="A104" s="15">
        <f>(COUNTIF('MSME policies catalogue'!N6:N248, "*Grants and subsidies*"))/(COUNTIFS('MSME policies catalogue'!N6:N248,"&lt;&gt;No specific target sector", 'MSME policies catalogue'!N6:N248, "&lt;&gt;No information found"))</f>
        <v>0.20425531914893616</v>
      </c>
      <c r="B104" t="s">
        <v>85</v>
      </c>
      <c r="C104" s="15">
        <f>(COUNTIFS('MSME policies catalogue'!N6:N248, "*Grants and subsidies*",'MSME policies catalogue'!C6:C248, Codes!C2 ))/COUNTIFS('MSME policies catalogue'!C6:C248, Codes!C2, 'MSME policies catalogue'!N6:N248,"&lt;&gt;No information found")</f>
        <v>0.1206896551724138</v>
      </c>
      <c r="D104" s="15">
        <f>(COUNTIFS('MSME policies catalogue'!N6:N248, "*Grants and subsidies*",'MSME policies catalogue'!D6:D248, Codes!D2 ))/COUNTIFS('MSME policies catalogue'!D6:D248, Codes!D2, 'MSME policies catalogue'!N6:N248,"&lt;&gt;No information found")</f>
        <v>0.36363636363636365</v>
      </c>
      <c r="E104" s="15" t="e">
        <f>(COUNTIFS('MSME policies catalogue'!N6:N248, "*Grants and subsidies*", 'MSME policies catalogue'!T6:T248, "Yes"))/(COUNTIFS(#REF!,"&lt;&gt;No specific target sector",'MSME policies catalogue'!N6:N248, "&lt;&gt;No information found", 'MSME policies catalogue'!T6:T248, "Yes" ))</f>
        <v>#REF!</v>
      </c>
      <c r="F104" s="15">
        <f>(COUNTIFS('MSME policies catalogue'!N6:N248, "*Grants and subsidies*", 'MSME policies catalogue'!J6:J248, "Yes"))/(COUNTIFS('MSME policies catalogue'!N6:N248,"&lt;&gt;No information found",'MSME policies catalogue'!N6:N248,"&lt;&gt;No specific target sector",'MSME policies catalogue'!J6:J248, "&lt;&gt;Unsure",'MSME policies catalogue'!J6:J248, "Yes" ))</f>
        <v>0.23529411764705882</v>
      </c>
    </row>
    <row r="105" spans="1:6" x14ac:dyDescent="0.25">
      <c r="A105" s="15">
        <f>(COUNTIF('MSME policies catalogue'!N6:N248, "*Early-stage finance*"))/(COUNTIFS('MSME policies catalogue'!N6:N248,"&lt;&gt;No specific target sector", 'MSME policies catalogue'!N6:N248, "&lt;&gt;No information found"))</f>
        <v>9.7872340425531917E-2</v>
      </c>
      <c r="B105" t="s">
        <v>91</v>
      </c>
      <c r="C105" s="15">
        <f>(COUNTIFS('MSME policies catalogue'!N6:N248, "*Early-stage finance*",'MSME policies catalogue'!C6:C248, Codes!C2 ))/COUNTIFS('MSME policies catalogue'!C6:C248, Codes!C2, 'MSME policies catalogue'!N6:N248,"&lt;&gt;No information found")</f>
        <v>8.6206896551724144E-2</v>
      </c>
      <c r="D105" s="15">
        <f>(COUNTIFS('MSME policies catalogue'!N6:N248, "*Early-stage finance*",'MSME policies catalogue'!D6:D248, Codes!D2 ))/COUNTIFS('MSME policies catalogue'!D6:D248, Codes!D2, 'MSME policies catalogue'!N6:N248,"&lt;&gt;No information found")</f>
        <v>0.27272727272727271</v>
      </c>
      <c r="E105" s="15" t="e">
        <f>(COUNTIFS('MSME policies catalogue'!N6:N248, "*Early-stage finance*", 'MSME policies catalogue'!T6:T248, "Yes"))/(COUNTIFS(#REF!,"&lt;&gt;No specific target sector",'MSME policies catalogue'!N6:N248, "&lt;&gt;No information found", 'MSME policies catalogue'!T6:T248, "Yes" ))</f>
        <v>#REF!</v>
      </c>
      <c r="F105" s="15">
        <f>(COUNTIFS('MSME policies catalogue'!N6:N248, "*Early-stage finance*", 'MSME policies catalogue'!J6:J248, "Yes"))/(COUNTIFS('MSME policies catalogue'!N6:N248,"&lt;&gt;No information found",'MSME policies catalogue'!N6:N248,"&lt;&gt;No specific target sector",'MSME policies catalogue'!J6:J248, "&lt;&gt;Unsure",'MSME policies catalogue'!J6:J248, "Yes" ))</f>
        <v>0.11764705882352941</v>
      </c>
    </row>
    <row r="106" spans="1:6" x14ac:dyDescent="0.25">
      <c r="A106" s="15">
        <f>(COUNTIF('MSME policies catalogue'!N6:N248, "*Trade/supply chain finance*"))/(COUNTIFS('MSME policies catalogue'!N6:N248,"&lt;&gt;No specific target sector", 'MSME policies catalogue'!N6:N248, "&lt;&gt;No information found"))</f>
        <v>2.9787234042553193E-2</v>
      </c>
      <c r="B106" t="s">
        <v>97</v>
      </c>
      <c r="C106" s="15">
        <f>(COUNTIFS('MSME policies catalogue'!N6:N248, "*Trade/supply chain finance*",'MSME policies catalogue'!C6:C248, Codes!C2 ))/COUNTIFS('MSME policies catalogue'!C6:C248, Codes!C2, 'MSME policies catalogue'!N6:N248,"&lt;&gt;No information found")</f>
        <v>0</v>
      </c>
      <c r="D106" s="15">
        <f>(COUNTIFS('MSME policies catalogue'!N6:N248, "*Trade/supply chain finance*",'MSME policies catalogue'!D6:D248, Codes!D2 ))/COUNTIFS('MSME policies catalogue'!D6:D248, Codes!D2, 'MSME policies catalogue'!N6:N248,"&lt;&gt;No information found")</f>
        <v>0</v>
      </c>
      <c r="E106" s="15" t="e">
        <f>(COUNTIFS('MSME policies catalogue'!N6:N248, "*Trade/supply chain finance*", 'MSME policies catalogue'!T6:T248, "Yes"))/(COUNTIFS(#REF!,"&lt;&gt;No specific target sector",'MSME policies catalogue'!N6:N248, "&lt;&gt;No information found", 'MSME policies catalogue'!T6:T248, "Yes" ))</f>
        <v>#REF!</v>
      </c>
      <c r="F106" s="15">
        <f>(COUNTIFS('MSME policies catalogue'!N6:N248, "*Trade/supply chain finance*", 'MSME policies catalogue'!J6:J248, "Yes"))/(COUNTIFS('MSME policies catalogue'!N6:N248,"&lt;&gt;No information found",'MSME policies catalogue'!N6:N248,"&lt;&gt;No specific target sector",'MSME policies catalogue'!J6:J248, "&lt;&gt;Unsure",'MSME policies catalogue'!J6:J248, "Yes" ))</f>
        <v>2.9411764705882353E-2</v>
      </c>
    </row>
    <row r="107" spans="1:6" x14ac:dyDescent="0.25">
      <c r="A107" s="15">
        <f>(COUNTIF('MSME policies catalogue'!N6:N248, "*Equity investment or incentives*"))/(COUNTIFS('MSME policies catalogue'!N6:N248,"&lt;&gt;No specific target sector", 'MSME policies catalogue'!N6:N248, "&lt;&gt;No information found"))</f>
        <v>7.2340425531914887E-2</v>
      </c>
      <c r="B107" t="s">
        <v>103</v>
      </c>
      <c r="C107" s="15">
        <f>(COUNTIFS('MSME policies catalogue'!N6:N248, "*Equity investment or incentives*",'MSME policies catalogue'!C6:C248, Codes!C2 ))/COUNTIFS('MSME policies catalogue'!C6:C248, Codes!C2, 'MSME policies catalogue'!N6:N248,"&lt;&gt;No information found")</f>
        <v>0.10344827586206896</v>
      </c>
      <c r="D107" s="15">
        <f>(COUNTIFS('MSME policies catalogue'!N6:N248, "*Equity investment or incentives*",'MSME policies catalogue'!D6:D248, Codes!D2 ))/COUNTIFS('MSME policies catalogue'!D6:D248, Codes!D2, 'MSME policies catalogue'!N6:N248,"&lt;&gt;No information found")</f>
        <v>0</v>
      </c>
      <c r="E107" s="15" t="e">
        <f>(COUNTIFS('MSME policies catalogue'!N6:N248, "*Equity investment or incentives*", 'MSME policies catalogue'!T6:T248, "Yes"))/(COUNTIFS(#REF!,"&lt;&gt;No specific target sector",'MSME policies catalogue'!N6:N248, "&lt;&gt;No information found", 'MSME policies catalogue'!T6:T248, "Yes" ))</f>
        <v>#REF!</v>
      </c>
      <c r="F107" s="15">
        <f>(COUNTIFS('MSME policies catalogue'!N6:N248, "*Equity investment or incentives*", 'MSME policies catalogue'!J6:J248, "Yes"))/(COUNTIFS('MSME policies catalogue'!N6:N248,"&lt;&gt;No information found",'MSME policies catalogue'!N6:N248,"&lt;&gt;No specific target sector",'MSME policies catalogue'!J6:J248, "&lt;&gt;Unsure",'MSME policies catalogue'!J6:J248, "Yes" ))</f>
        <v>8.8235294117647065E-2</v>
      </c>
    </row>
    <row r="108" spans="1:6" x14ac:dyDescent="0.25">
      <c r="A108" s="15">
        <f>(COUNTIF('MSME policies catalogue'!N6:N248, "*Deferral/restructuring of payments*"))/(COUNTIFS('MSME policies catalogue'!N6:N248,"&lt;&gt;No specific target sector", 'MSME policies catalogue'!N6:N248, "&lt;&gt;No information found"))</f>
        <v>3.4042553191489362E-2</v>
      </c>
      <c r="B108" t="s">
        <v>109</v>
      </c>
      <c r="C108" s="15">
        <f>(COUNTIFS('MSME policies catalogue'!N6:N248, "*Deferral/restructuring of payments*",'MSME policies catalogue'!C6:C248, Codes!C2 ))/COUNTIFS('MSME policies catalogue'!C6:C248, Codes!C2, 'MSME policies catalogue'!N6:N248,"&lt;&gt;No information found")</f>
        <v>1.7241379310344827E-2</v>
      </c>
      <c r="D108" s="15">
        <f>(COUNTIFS('MSME policies catalogue'!N6:N248, "*Deferral/restructuring of payments*",'MSME policies catalogue'!D6:D248, Codes!D2 ))/COUNTIFS('MSME policies catalogue'!D6:D248, Codes!D2, 'MSME policies catalogue'!N6:N248,"&lt;&gt;No information found")</f>
        <v>0</v>
      </c>
      <c r="E108" s="15" t="e">
        <f>(COUNTIFS('MSME policies catalogue'!N6:N248, "*Deferral/restructuring of payments*", 'MSME policies catalogue'!T6:T248, "Yes"))/(COUNTIFS(#REF!,"&lt;&gt;No specific target sector",'MSME policies catalogue'!N6:N248, "&lt;&gt;No information found", 'MSME policies catalogue'!T6:T248, "Yes" ))</f>
        <v>#REF!</v>
      </c>
      <c r="F108" s="15">
        <f>(COUNTIFS('MSME policies catalogue'!N6:N248, "*Deferral/restructuring of payments*", 'MSME policies catalogue'!J6:J248, "Yes"))/(COUNTIFS('MSME policies catalogue'!N6:N248,"&lt;&gt;No information found",'MSME policies catalogue'!N6:N248,"&lt;&gt;No specific target sector",'MSME policies catalogue'!J6:J248, "&lt;&gt;Unsure",'MSME policies catalogue'!J6:J248, "Yes" ))</f>
        <v>1.9607843137254902E-2</v>
      </c>
    </row>
    <row r="109" spans="1:6" x14ac:dyDescent="0.25">
      <c r="A109" s="15">
        <f>(COUNTIF('MSME policies catalogue'!N6:N248, "*MSME procurement*"))/(COUNTIFS('MSME policies catalogue'!N6:N248,"&lt;&gt;No specific target sector", 'MSME policies catalogue'!N6:N248, "&lt;&gt;No information found"))</f>
        <v>4.6808510638297871E-2</v>
      </c>
      <c r="B109" t="s">
        <v>115</v>
      </c>
      <c r="C109" s="15">
        <f>(COUNTIFS('MSME policies catalogue'!N6:N248, "*MSME procurement*",'MSME policies catalogue'!C6:C248, Codes!C2 ))/COUNTIFS('MSME policies catalogue'!C6:C248, Codes!C2, 'MSME policies catalogue'!N6:N248,"&lt;&gt;No information found")</f>
        <v>8.6206896551724144E-2</v>
      </c>
      <c r="D109" s="15">
        <f>(COUNTIFS('MSME policies catalogue'!N6:N248, "*MSME procurement*",'MSME policies catalogue'!D6:D248, Codes!D2 ))/COUNTIFS('MSME policies catalogue'!D6:D248, Codes!D2, 'MSME policies catalogue'!N6:N248,"&lt;&gt;No information found")</f>
        <v>0</v>
      </c>
      <c r="E109" s="15" t="e">
        <f>(COUNTIFS('MSME policies catalogue'!N6:N248, "*MSME procurement*", 'MSME policies catalogue'!T6:T248, "Yes"))/(COUNTIFS(#REF!,"&lt;&gt;No specific target sector",'MSME policies catalogue'!N6:N248, "&lt;&gt;No information found", 'MSME policies catalogue'!T6:T248, "Yes" ))</f>
        <v>#REF!</v>
      </c>
      <c r="F109" s="15">
        <f>(COUNTIFS('MSME policies catalogue'!N6:N248, "*MSME procurement*", 'MSME policies catalogue'!J6:J248, "Yes"))/(COUNTIFS('MSME policies catalogue'!N6:N248,"&lt;&gt;No information found",'MSME policies catalogue'!N6:N248,"&lt;&gt;No specific target sector",'MSME policies catalogue'!J6:J248, "&lt;&gt;Unsure",'MSME policies catalogue'!J6:J248, "Yes" ))</f>
        <v>3.9215686274509803E-2</v>
      </c>
    </row>
    <row r="110" spans="1:6" x14ac:dyDescent="0.25">
      <c r="C110" s="15"/>
      <c r="D110" s="15"/>
      <c r="E110" s="15"/>
      <c r="F110" s="15"/>
    </row>
    <row r="114" spans="1:6" ht="30" x14ac:dyDescent="0.25">
      <c r="A114" s="16" t="s">
        <v>194</v>
      </c>
      <c r="B114" t="s">
        <v>121</v>
      </c>
      <c r="C114" s="16" t="s">
        <v>221</v>
      </c>
      <c r="D114" s="16" t="s">
        <v>222</v>
      </c>
      <c r="E114" s="16" t="s">
        <v>223</v>
      </c>
      <c r="F114" s="16" t="s">
        <v>224</v>
      </c>
    </row>
    <row r="115" spans="1:6" x14ac:dyDescent="0.25">
      <c r="A115">
        <f>COUNTIF('MSME policies catalogue'!O6:O248, "*Payment system infrastructure*")</f>
        <v>18</v>
      </c>
      <c r="B115" t="s">
        <v>74</v>
      </c>
      <c r="C115">
        <f>COUNTIFS('MSME policies catalogue'!O6:O248, "*Payment system infrastructure*", 'MSME policies catalogue'!C6:C248, Codes!C2)</f>
        <v>4</v>
      </c>
      <c r="D115">
        <f>COUNTIFS('MSME policies catalogue'!O6:O248, "*Payment system infrastructure*", 'MSME policies catalogue'!D6:D248, Codes!D2)</f>
        <v>0</v>
      </c>
      <c r="E115">
        <f>COUNTIFS('MSME policies catalogue'!O6:O248, "*Payment system infrastructure*", 'MSME policies catalogue'!T6:T248, "Yes")</f>
        <v>3</v>
      </c>
      <c r="F115">
        <f>COUNTIFS('MSME policies catalogue'!O6:O248, "*Payment system infrastructure*", 'MSME policies catalogue'!J6:J248,"Yes")</f>
        <v>9</v>
      </c>
    </row>
    <row r="116" spans="1:6" x14ac:dyDescent="0.25">
      <c r="A116">
        <f>COUNTIF('MSME policies catalogue'!O6:O248, "*Stock market development*")</f>
        <v>8</v>
      </c>
      <c r="B116" t="s">
        <v>80</v>
      </c>
      <c r="C116">
        <f>COUNTIFS('MSME policies catalogue'!O6:O248, "*Stock market development*", 'MSME policies catalogue'!C6:C248, Codes!C2)</f>
        <v>2</v>
      </c>
      <c r="D116">
        <f>COUNTIFS('MSME policies catalogue'!O6:O248, "*Stock market development*", 'MSME policies catalogue'!D6:D248, Codes!D2)</f>
        <v>0</v>
      </c>
      <c r="E116">
        <f>COUNTIFS('MSME policies catalogue'!O6:O248, "*Stock market development*", 'MSME policies catalogue'!T6:T248, "Yes")</f>
        <v>1</v>
      </c>
      <c r="F116">
        <f>COUNTIFS('MSME policies catalogue'!O6:O248, "*Stock market development*", 'MSME policies catalogue'!J6:J248,"Yes")</f>
        <v>2</v>
      </c>
    </row>
    <row r="117" spans="1:6" x14ac:dyDescent="0.25">
      <c r="A117">
        <f>COUNTIF('MSME policies catalogue'!O6:O248, "*Collateral registry*")</f>
        <v>15</v>
      </c>
      <c r="B117" t="s">
        <v>235</v>
      </c>
      <c r="C117">
        <f>COUNTIFS('MSME policies catalogue'!O6:O248, "*Collateral registry*", 'MSME policies catalogue'!C6:C248, Codes!C2)</f>
        <v>4</v>
      </c>
      <c r="D117">
        <f>COUNTIFS('MSME policies catalogue'!O6:O248, "*Collateral registry*", 'MSME policies catalogue'!D6:D248, Codes!D2)</f>
        <v>0</v>
      </c>
      <c r="E117">
        <f>COUNTIFS('MSME policies catalogue'!O6:O248, "*Collateral registry*", 'MSME policies catalogue'!T6:T248, "Yes")</f>
        <v>1</v>
      </c>
      <c r="F117">
        <f>COUNTIFS('MSME policies catalogue'!O6:O248, "*Collateral registry*", 'MSME policies catalogue'!J6:J248,"Yes")</f>
        <v>8</v>
      </c>
    </row>
    <row r="118" spans="1:6" x14ac:dyDescent="0.25">
      <c r="A118">
        <f>COUNTIF('MSME policies catalogue'!O6:O248, "*Regulatory environment*")</f>
        <v>41</v>
      </c>
      <c r="B118" t="s">
        <v>92</v>
      </c>
      <c r="C118">
        <f>COUNTIFS('MSME policies catalogue'!O6:O248, "*Regulatory environment*", 'MSME policies catalogue'!C6:C248, Codes!C2)</f>
        <v>10</v>
      </c>
      <c r="D118">
        <f>COUNTIFS('MSME policies catalogue'!O6:O248, "*Regulatory environment*", 'MSME policies catalogue'!D6:D248, Codes!D2)</f>
        <v>1</v>
      </c>
      <c r="E118">
        <f>COUNTIFS('MSME policies catalogue'!O6:O248, "*Regulatory environment*", 'MSME policies catalogue'!T6:T248, "Yes")</f>
        <v>2</v>
      </c>
      <c r="F118">
        <f>COUNTIFS('MSME policies catalogue'!O6:O248, "*Regulatory environment*", 'MSME policies catalogue'!J6:J248,"Yes")</f>
        <v>18</v>
      </c>
    </row>
    <row r="119" spans="1:6" x14ac:dyDescent="0.25">
      <c r="A119">
        <f>COUNTIF('MSME policies catalogue'!O6:O248, "*Capacity building MSMEs*")</f>
        <v>107</v>
      </c>
      <c r="B119" t="s">
        <v>98</v>
      </c>
      <c r="C119">
        <f>COUNTIFS('MSME policies catalogue'!O6:O248, "*Capacity building MSMEs*", 'MSME policies catalogue'!C6:C248, Codes!C2)</f>
        <v>29</v>
      </c>
      <c r="D119">
        <f>COUNTIFS('MSME policies catalogue'!O6:O248, "*Capacity building MSMEs*", 'MSME policies catalogue'!D6:D248, Codes!D2)</f>
        <v>3</v>
      </c>
      <c r="E119">
        <f>COUNTIFS('MSME policies catalogue'!O6:O248, "*Capacity building MSMEs*", 'MSME policies catalogue'!T6:T248, "Yes")</f>
        <v>6</v>
      </c>
      <c r="F119">
        <f>COUNTIFS('MSME policies catalogue'!O6:O248, "*Capacity building MSMEs*", 'MSME policies catalogue'!J6:J248,"Yes")</f>
        <v>50</v>
      </c>
    </row>
    <row r="120" spans="1:6" x14ac:dyDescent="0.25">
      <c r="A120">
        <f>COUNTIF('MSME policies catalogue'!O6:O248, "*Credit information system*")</f>
        <v>23</v>
      </c>
      <c r="B120" t="s">
        <v>104</v>
      </c>
      <c r="C120">
        <f>COUNTIFS('MSME policies catalogue'!O6:O248, "*Credit information system*", 'MSME policies catalogue'!C6:C248, Codes!C2)</f>
        <v>8</v>
      </c>
      <c r="D120">
        <f>COUNTIFS('MSME policies catalogue'!O6:O248, "*Credit information system*", 'MSME policies catalogue'!D6:D248, Codes!D2)</f>
        <v>0</v>
      </c>
      <c r="E120">
        <f>COUNTIFS('MSME policies catalogue'!O6:O248, "*Credit information system*", 'MSME policies catalogue'!T6:T248, "Yes")</f>
        <v>2</v>
      </c>
      <c r="F120">
        <f>COUNTIFS('MSME policies catalogue'!O6:O248, "*Credit information system*", 'MSME policies catalogue'!J6:J248,"Yes")</f>
        <v>13</v>
      </c>
    </row>
    <row r="121" spans="1:6" x14ac:dyDescent="0.25">
      <c r="A121">
        <f>COUNTIF('MSME policies catalogue'!O6:O248, "*Capacity building financial institutions*")</f>
        <v>32</v>
      </c>
      <c r="B121" t="s">
        <v>110</v>
      </c>
      <c r="C121">
        <f>COUNTIFS('MSME policies catalogue'!O6:O248, "*Capacity building financial institutions*", 'MSME policies catalogue'!C6:C248, Codes!C2)</f>
        <v>12</v>
      </c>
      <c r="D121">
        <f>COUNTIFS('MSME policies catalogue'!O6:O248, "*Capacity building financial institutions*", 'MSME policies catalogue'!D6:D248, Codes!D2)</f>
        <v>0</v>
      </c>
      <c r="E121">
        <f>COUNTIFS('MSME policies catalogue'!O6:O248, "*Capacity building financial institutions*", 'MSME policies catalogue'!T6:T248, "Yes")</f>
        <v>2</v>
      </c>
      <c r="F121">
        <f>COUNTIFS('MSME policies catalogue'!O6:O248, "*Capacity building financial institutions*", 'MSME policies catalogue'!J6:J248,"Yes")</f>
        <v>21</v>
      </c>
    </row>
    <row r="122" spans="1:6" x14ac:dyDescent="0.25">
      <c r="A122">
        <f>COUNTIF('MSME policies catalogue'!O6:O248, "*Constraint/landscape assessment*")</f>
        <v>11</v>
      </c>
      <c r="B122" t="s">
        <v>116</v>
      </c>
      <c r="C122">
        <f>COUNTIFS('MSME policies catalogue'!O6:O248, "*Constraint/landscape assessment*", 'MSME policies catalogue'!C6:C248, Codes!C2)</f>
        <v>0</v>
      </c>
      <c r="D122">
        <f>COUNTIFS('MSME policies catalogue'!O6:O248, "*Constraint/landscape assessment*", 'MSME policies catalogue'!D6:D248, Codes!D2)</f>
        <v>0</v>
      </c>
      <c r="E122">
        <f>COUNTIFS('MSME policies catalogue'!O6:O248, "*Constraint/landscape assessment*", 'MSME policies catalogue'!T6:T248, "Yes")</f>
        <v>2</v>
      </c>
      <c r="F122">
        <f>COUNTIFS('MSME policies catalogue'!O6:O248, "*Constraint/landscape assessment*", 'MSME policies catalogue'!J6:J248,"Yes")</f>
        <v>7</v>
      </c>
    </row>
    <row r="123" spans="1:6" x14ac:dyDescent="0.25">
      <c r="A123">
        <f>COUNTIF('MSME policies catalogue'!O6:O248, "*Incentives to financial institutions*")</f>
        <v>18</v>
      </c>
      <c r="B123" t="s">
        <v>122</v>
      </c>
      <c r="C123">
        <f>COUNTIFS('MSME policies catalogue'!O6:O248, "*Incentives to financial institutions*", 'MSME policies catalogue'!C6:C248, Codes!C2)</f>
        <v>3</v>
      </c>
      <c r="D123">
        <f>COUNTIFS('MSME policies catalogue'!O6:O248, "*Incentives to financial institutions*", 'MSME policies catalogue'!D6:D248, Codes!D2)</f>
        <v>0</v>
      </c>
      <c r="E123">
        <f>COUNTIFS('MSME policies catalogue'!O6:O248, "*Incentives to financial institutions*", 'MSME policies catalogue'!T6:T248, "Yes")</f>
        <v>0</v>
      </c>
      <c r="F123">
        <f>COUNTIFS('MSME policies catalogue'!O6:O248, "*Incentives to financial institutions*", 'MSME policies catalogue'!J6:J248,"Yes")</f>
        <v>7</v>
      </c>
    </row>
    <row r="125" spans="1:6" x14ac:dyDescent="0.25">
      <c r="A125" s="17">
        <f>COUNTIFS('MSME policies catalogue'!O6:O2000,"&lt;&gt;No enabling infrastructure elements", 'MSME policies catalogue'!O6:O2000,"&lt;&gt;No information found",'MSME policies catalogue'!O6:O2000,"&lt;&gt;")/COUNTIFS('MSME policies catalogue'!O6:O2000,"&lt;&gt;No information found",'MSME policies catalogue'!O6:O2000,"&lt;&gt;")</f>
        <v>0.6523605150214592</v>
      </c>
      <c r="B125" t="s">
        <v>236</v>
      </c>
    </row>
    <row r="126" spans="1:6" ht="30" x14ac:dyDescent="0.25">
      <c r="A126" s="16" t="s">
        <v>233</v>
      </c>
      <c r="B126" t="s">
        <v>121</v>
      </c>
      <c r="C126" s="16" t="s">
        <v>226</v>
      </c>
      <c r="D126" s="16" t="s">
        <v>227</v>
      </c>
      <c r="E126" s="16" t="s">
        <v>228</v>
      </c>
      <c r="F126" s="16" t="s">
        <v>229</v>
      </c>
    </row>
    <row r="127" spans="1:6" x14ac:dyDescent="0.25">
      <c r="A127" s="15">
        <f>(COUNTIF('MSME policies catalogue'!O6:O248, "*Payment system infrastructure*"))/(COUNTIFS('MSME policies catalogue'!O6:O248,"&lt;&gt;No specific target sector", 'MSME policies catalogue'!O6:O248, "&lt;&gt;No information found", 'MSME policies catalogue'!O6:O248,"&lt;&gt;No enabling infrastructure elements"))</f>
        <v>0.11842105263157894</v>
      </c>
      <c r="B127" t="s">
        <v>74</v>
      </c>
      <c r="C127" s="15">
        <f>(COUNTIFS('MSME policies catalogue'!O6:O248, "*Payment system infrastructure*",'MSME policies catalogue'!C6:C248, Codes!C2 ))/COUNTIFS('MSME policies catalogue'!C6:C248, Codes!C2, 'MSME policies catalogue'!O6:O248,"&lt;&gt;No information found", 'MSME policies catalogue'!O6:O248,"&lt;&gt;No enabling infrastructure elements")</f>
        <v>9.5238095238095233E-2</v>
      </c>
      <c r="D127" s="15">
        <f>(COUNTIFS('MSME policies catalogue'!O6:O248, "*Payment system infrastructure*",'MSME policies catalogue'!D6:D248, Codes!D2 ))/COUNTIFS('MSME policies catalogue'!D6:D248, Codes!D2, 'MSME policies catalogue'!O6:O248,"&lt;&gt;No information found", 'MSME policies catalogue'!O6:O248,"&lt;&gt;No enabling infrastructure elements")</f>
        <v>0</v>
      </c>
      <c r="E127" s="15" t="e">
        <f>(COUNTIFS('MSME policies catalogue'!O6:O248, "*Payment system infrastructure*", 'MSME policies catalogue'!T6:T248, "Yes"))/(COUNTIFS(#REF!,"&lt;&gt;No specific target sector",'MSME policies catalogue'!O6:O248, "&lt;&gt;No information found", 'MSME policies catalogue'!T6:T248, "Yes", 'MSME policies catalogue'!O6:O248,"&lt;&gt;No enabling infrastructure elements" ))</f>
        <v>#REF!</v>
      </c>
      <c r="F127" s="15">
        <f>(COUNTIFS('MSME policies catalogue'!O6:O248, "*Payment system infrastructure*",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0.12</v>
      </c>
    </row>
    <row r="128" spans="1:6" x14ac:dyDescent="0.25">
      <c r="A128" s="15">
        <f>(COUNTIF('MSME policies catalogue'!O6:O248, "*Stock market development*"))/(COUNTIFS('MSME policies catalogue'!O6:O248,"&lt;&gt;No specific target sector", 'MSME policies catalogue'!O6:O248, "&lt;&gt;No information found", 'MSME policies catalogue'!O6:O248,"&lt;&gt;No enabling infrastructure elements"))</f>
        <v>5.2631578947368418E-2</v>
      </c>
      <c r="B128" t="s">
        <v>80</v>
      </c>
      <c r="C128" s="15">
        <f>(COUNTIFS('MSME policies catalogue'!O6:O248, "*Stock market development*",'MSME policies catalogue'!C6:C248, Codes!C2 ))/COUNTIFS('MSME policies catalogue'!C6:C248, Codes!C2, 'MSME policies catalogue'!O6:O248,"&lt;&gt;No information found", 'MSME policies catalogue'!O6:O248,"&lt;&gt;No enabling infrastructure elements")</f>
        <v>4.7619047619047616E-2</v>
      </c>
      <c r="D128" s="15">
        <f>(COUNTIFS('MSME policies catalogue'!O6:O248, "*Stock market development*",'MSME policies catalogue'!D6:D248, Codes!D2 ))/COUNTIFS('MSME policies catalogue'!D6:D248, Codes!D2, 'MSME policies catalogue'!O6:O248,"&lt;&gt;No information found", 'MSME policies catalogue'!O6:O248,"&lt;&gt;No enabling infrastructure elements")</f>
        <v>0</v>
      </c>
      <c r="E128" s="15" t="e">
        <f>(COUNTIFS('MSME policies catalogue'!O6:O248, "*Stock market development*", 'MSME policies catalogue'!T6:T248, "Yes"))/(COUNTIFS(#REF!,"&lt;&gt;No specific target sector",'MSME policies catalogue'!O6:O248, "&lt;&gt;No information found", 'MSME policies catalogue'!T6:T248, "Yes", 'MSME policies catalogue'!O6:O248,"&lt;&gt;No enabling infrastructure elements" ))</f>
        <v>#REF!</v>
      </c>
      <c r="F128" s="15">
        <f>(COUNTIFS('MSME policies catalogue'!O6:O248, "*Stock market development*",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2.6666666666666668E-2</v>
      </c>
    </row>
    <row r="129" spans="1:10" x14ac:dyDescent="0.25">
      <c r="A129" s="15">
        <f>(COUNTIF('MSME policies catalogue'!O6:O248, "*Collateral registry*"))/(COUNTIFS('MSME policies catalogue'!O6:O248,"&lt;&gt;No specific target sector", 'MSME policies catalogue'!O6:O248, "&lt;&gt;No information found", 'MSME policies catalogue'!O6:O248,"&lt;&gt;No enabling infrastructure elements"))</f>
        <v>9.8684210526315791E-2</v>
      </c>
      <c r="B129" t="s">
        <v>86</v>
      </c>
      <c r="C129" s="15">
        <f>(COUNTIFS('MSME policies catalogue'!O6:O248, "*Collateral registry*",'MSME policies catalogue'!C6:C248, Codes!C2 ))/COUNTIFS('MSME policies catalogue'!C6:C248, Codes!C2, 'MSME policies catalogue'!O6:O248,"&lt;&gt;No information found", 'MSME policies catalogue'!O6:O248,"&lt;&gt;No enabling infrastructure elements")</f>
        <v>9.5238095238095233E-2</v>
      </c>
      <c r="D129" s="15">
        <f>(COUNTIFS('MSME policies catalogue'!O6:O248, "*Collateral registry*",'MSME policies catalogue'!D6:D248, Codes!D2 ))/COUNTIFS('MSME policies catalogue'!D6:D248, Codes!D2, 'MSME policies catalogue'!O6:O248,"&lt;&gt;No information found", 'MSME policies catalogue'!O6:O248,"&lt;&gt;No enabling infrastructure elements")</f>
        <v>0</v>
      </c>
      <c r="E129" s="15" t="e">
        <f>(COUNTIFS('MSME policies catalogue'!O6:O248, "*Collateral registry*", 'MSME policies catalogue'!T6:T248, "Yes"))/(COUNTIFS(#REF!,"&lt;&gt;No specific target sector",'MSME policies catalogue'!O6:O248, "&lt;&gt;No information found", 'MSME policies catalogue'!T6:T248, "Yes", 'MSME policies catalogue'!O6:O248,"&lt;&gt;No enabling infrastructure elements" ))</f>
        <v>#REF!</v>
      </c>
      <c r="F129" s="15">
        <f>(COUNTIFS('MSME policies catalogue'!O6:O248, "*Collateral registry*",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0.10666666666666667</v>
      </c>
    </row>
    <row r="130" spans="1:10" x14ac:dyDescent="0.25">
      <c r="A130" s="15">
        <f>(COUNTIF('MSME policies catalogue'!O6:O248, "*Regulatory environment*"))/(COUNTIFS('MSME policies catalogue'!O6:O248,"&lt;&gt;No specific target sector", 'MSME policies catalogue'!O6:O248, "&lt;&gt;No information found", 'MSME policies catalogue'!O6:O248,"&lt;&gt;No enabling infrastructure elements"))</f>
        <v>0.26973684210526316</v>
      </c>
      <c r="B130" t="s">
        <v>92</v>
      </c>
      <c r="C130" s="15">
        <f>(COUNTIFS('MSME policies catalogue'!O6:O248, "*Regulatory environment*",'MSME policies catalogue'!C6:C248, Codes!C2 ))/COUNTIFS('MSME policies catalogue'!C6:C248, Codes!C2, 'MSME policies catalogue'!O6:O248,"&lt;&gt;No information found", 'MSME policies catalogue'!O6:O248,"&lt;&gt;No enabling infrastructure elements")</f>
        <v>0.23809523809523808</v>
      </c>
      <c r="D130" s="15">
        <f>(COUNTIFS('MSME policies catalogue'!O6:O248, "*Regulatory environment*",'MSME policies catalogue'!D6:D248, Codes!D2 ))/COUNTIFS('MSME policies catalogue'!D6:D248, Codes!D2, 'MSME policies catalogue'!O6:O248,"&lt;&gt;No information found", 'MSME policies catalogue'!O6:O248,"&lt;&gt;No enabling infrastructure elements")</f>
        <v>0.25</v>
      </c>
      <c r="E130" s="15" t="e">
        <f>(COUNTIFS('MSME policies catalogue'!O6:O248, "*Regulatory environment*", 'MSME policies catalogue'!T6:T248, "Yes"))/(COUNTIFS(#REF!,"&lt;&gt;No specific target sector",'MSME policies catalogue'!O6:O248, "&lt;&gt;No information found", 'MSME policies catalogue'!T6:T248, "Yes", 'MSME policies catalogue'!O6:O248,"&lt;&gt;No enabling infrastructure elements" ))</f>
        <v>#REF!</v>
      </c>
      <c r="F130" s="15">
        <f>(COUNTIFS('MSME policies catalogue'!O6:O248, "*Regulatory environment*",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0.24</v>
      </c>
    </row>
    <row r="131" spans="1:10" x14ac:dyDescent="0.25">
      <c r="A131" s="15">
        <f>(COUNTIF('MSME policies catalogue'!O6:O248, "*Capacity building MSMEs*"))/(COUNTIFS('MSME policies catalogue'!O6:O248,"&lt;&gt;No specific target sector", 'MSME policies catalogue'!O6:O248, "&lt;&gt;No information found", 'MSME policies catalogue'!O6:O248,"&lt;&gt;No enabling infrastructure elements"))</f>
        <v>0.70394736842105265</v>
      </c>
      <c r="B131" t="s">
        <v>98</v>
      </c>
      <c r="C131" s="15">
        <f>(COUNTIFS('MSME policies catalogue'!O6:O248, "*Capacity building MSMEs*",'MSME policies catalogue'!C6:C248, Codes!C2 ))/COUNTIFS('MSME policies catalogue'!C6:C248, Codes!C2, 'MSME policies catalogue'!O6:O248,"&lt;&gt;No information found", 'MSME policies catalogue'!O6:O248,"&lt;&gt;No enabling infrastructure elements")</f>
        <v>0.69047619047619047</v>
      </c>
      <c r="D131" s="15">
        <f>(COUNTIFS('MSME policies catalogue'!O6:O248, "*Capacity building MSMEs*",'MSME policies catalogue'!D6:D248, Codes!D2 ))/COUNTIFS('MSME policies catalogue'!D6:D248, Codes!D2, 'MSME policies catalogue'!O6:O248,"&lt;&gt;No information found", 'MSME policies catalogue'!O6:O248,"&lt;&gt;No enabling infrastructure elements")</f>
        <v>0.75</v>
      </c>
      <c r="E131" s="15" t="e">
        <f>(COUNTIFS('MSME policies catalogue'!O6:O248, "*Capacity building MSMEs*", 'MSME policies catalogue'!T6:T248, "Yes"))/(COUNTIFS(#REF!,"&lt;&gt;No specific target sector",'MSME policies catalogue'!O6:O248, "&lt;&gt;No information found", 'MSME policies catalogue'!T6:T248, "Yes", 'MSME policies catalogue'!O6:O248,"&lt;&gt;No enabling infrastructure elements" ))</f>
        <v>#REF!</v>
      </c>
      <c r="F131" s="15">
        <f>(COUNTIFS('MSME policies catalogue'!O6:O248, "*Capacity building MSMEs*",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0.66666666666666663</v>
      </c>
    </row>
    <row r="132" spans="1:10" x14ac:dyDescent="0.25">
      <c r="A132" s="15">
        <f>(COUNTIF('MSME policies catalogue'!O6:O248, "*Credit information system*"))/(COUNTIFS('MSME policies catalogue'!O6:O248,"&lt;&gt;No specific target sector", 'MSME policies catalogue'!O6:O248, "&lt;&gt;No information found", 'MSME policies catalogue'!O6:O248,"&lt;&gt;No enabling infrastructure elements"))</f>
        <v>0.15131578947368421</v>
      </c>
      <c r="B132" t="s">
        <v>104</v>
      </c>
      <c r="C132" s="15">
        <f>(COUNTIFS('MSME policies catalogue'!O6:O248, "*Credit information system*",'MSME policies catalogue'!C6:C248, Codes!C2 ))/COUNTIFS('MSME policies catalogue'!C6:C248, Codes!C2, 'MSME policies catalogue'!O6:O248,"&lt;&gt;No information found", 'MSME policies catalogue'!O6:O248,"&lt;&gt;No enabling infrastructure elements")</f>
        <v>0.19047619047619047</v>
      </c>
      <c r="D132" s="15">
        <f>(COUNTIFS('MSME policies catalogue'!O6:O248, "*Credit information system*",'MSME policies catalogue'!D6:D248, Codes!D2 ))/COUNTIFS('MSME policies catalogue'!D6:D248, Codes!D2, 'MSME policies catalogue'!O6:O248,"&lt;&gt;No information found", 'MSME policies catalogue'!O6:O248,"&lt;&gt;No enabling infrastructure elements")</f>
        <v>0</v>
      </c>
      <c r="E132" s="15" t="e">
        <f>(COUNTIFS('MSME policies catalogue'!O6:O248, "*Credit information system*", 'MSME policies catalogue'!T6:T248, "Yes"))/(COUNTIFS(#REF!,"&lt;&gt;No specific target sector",'MSME policies catalogue'!O6:O248, "&lt;&gt;No information found", 'MSME policies catalogue'!T6:T248, "Yes", 'MSME policies catalogue'!O6:O248,"&lt;&gt;No enabling infrastructure elements" ))</f>
        <v>#REF!</v>
      </c>
      <c r="F132" s="15">
        <f>(COUNTIFS('MSME policies catalogue'!O6:O248, "*Credit information system*",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0.17333333333333334</v>
      </c>
    </row>
    <row r="133" spans="1:10" x14ac:dyDescent="0.25">
      <c r="A133" s="15">
        <f>(COUNTIF('MSME policies catalogue'!O6:O248, "*Capacity building financial institutions*"))/(COUNTIFS('MSME policies catalogue'!O6:O248,"&lt;&gt;No specific target sector", 'MSME policies catalogue'!O6:O248, "&lt;&gt;No information found", 'MSME policies catalogue'!O6:O248,"&lt;&gt;No enabling infrastructure elements"))</f>
        <v>0.21052631578947367</v>
      </c>
      <c r="B133" t="s">
        <v>110</v>
      </c>
      <c r="C133" s="15">
        <f>(COUNTIFS('MSME policies catalogue'!O6:O248, "*Capacity building financial institutions*",'MSME policies catalogue'!C6:C248, Codes!C2 ))/COUNTIFS('MSME policies catalogue'!C6:C248, Codes!C2, 'MSME policies catalogue'!O6:O248,"&lt;&gt;No information found", 'MSME policies catalogue'!O6:O248,"&lt;&gt;No enabling infrastructure elements")</f>
        <v>0.2857142857142857</v>
      </c>
      <c r="D133" s="15">
        <f>(COUNTIFS('MSME policies catalogue'!O6:O248, "*Capacity building financial institutions*",'MSME policies catalogue'!D6:D248, Codes!D2 ))/COUNTIFS('MSME policies catalogue'!D6:D248, Codes!D2, 'MSME policies catalogue'!O6:O248,"&lt;&gt;No information found", 'MSME policies catalogue'!O6:O248,"&lt;&gt;No enabling infrastructure elements")</f>
        <v>0</v>
      </c>
      <c r="E133" s="15" t="e">
        <f>(COUNTIFS('MSME policies catalogue'!O6:O248, "*Capacity building financial institutions*", 'MSME policies catalogue'!T6:T248, "Yes"))/(COUNTIFS(#REF!,"&lt;&gt;No specific target sector",'MSME policies catalogue'!O6:O248, "&lt;&gt;No information found", 'MSME policies catalogue'!T6:T248, "Yes", 'MSME policies catalogue'!O6:O248,"&lt;&gt;No enabling infrastructure elements" ))</f>
        <v>#REF!</v>
      </c>
      <c r="F133" s="15">
        <f>(COUNTIFS('MSME policies catalogue'!O6:O248, "*Capacity building financial institutions*",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0.28000000000000003</v>
      </c>
    </row>
    <row r="134" spans="1:10" x14ac:dyDescent="0.25">
      <c r="A134" s="15">
        <f>(COUNTIF('MSME policies catalogue'!O6:O248, "*Constraint/landscape assessment*"))/(COUNTIFS('MSME policies catalogue'!O6:O248,"&lt;&gt;No specific target sector", 'MSME policies catalogue'!O6:O248, "&lt;&gt;No information found", 'MSME policies catalogue'!O6:O248,"&lt;&gt;No enabling infrastructure elements"))</f>
        <v>7.2368421052631582E-2</v>
      </c>
      <c r="B134" t="s">
        <v>116</v>
      </c>
      <c r="C134" s="15">
        <f>(COUNTIFS('MSME policies catalogue'!O6:O248, "*Constraint/landscape assessment*",'MSME policies catalogue'!C6:C248, Codes!C2 ))/COUNTIFS('MSME policies catalogue'!C6:C248, Codes!C2, 'MSME policies catalogue'!O6:O248,"&lt;&gt;No information found", 'MSME policies catalogue'!O6:O248,"&lt;&gt;No enabling infrastructure elements")</f>
        <v>0</v>
      </c>
      <c r="D134" s="15">
        <f>(COUNTIFS('MSME policies catalogue'!O6:O248, "*Constraint/landscape assessment*",'MSME policies catalogue'!D6:D248, Codes!D2 ))/COUNTIFS('MSME policies catalogue'!D6:D248, Codes!D2, 'MSME policies catalogue'!O6:O248,"&lt;&gt;No information found", 'MSME policies catalogue'!O6:O248,"&lt;&gt;No enabling infrastructure elements")</f>
        <v>0</v>
      </c>
      <c r="E134" s="15" t="e">
        <f>(COUNTIFS('MSME policies catalogue'!O6:O248, "*Constraint/landscape assessment*", 'MSME policies catalogue'!T6:T248, "Yes"))/(COUNTIFS(#REF!,"&lt;&gt;No specific target sector",'MSME policies catalogue'!O6:O248, "&lt;&gt;No information found", 'MSME policies catalogue'!T6:T248, "Yes", 'MSME policies catalogue'!O6:O248,"&lt;&gt;No enabling infrastructure elements" ))</f>
        <v>#REF!</v>
      </c>
      <c r="F134" s="15">
        <f>(COUNTIFS('MSME policies catalogue'!O6:O248, "*Constraint/landscape assessment*",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9.3333333333333338E-2</v>
      </c>
    </row>
    <row r="135" spans="1:10" x14ac:dyDescent="0.25">
      <c r="A135" s="15">
        <f>(COUNTIF('MSME policies catalogue'!O6:O248, "*Incentives to financial institutions*"))/(COUNTIFS('MSME policies catalogue'!O6:O248,"&lt;&gt;No specific target sector", 'MSME policies catalogue'!O6:O248, "&lt;&gt;No information found", 'MSME policies catalogue'!O6:O248,"&lt;&gt;No enabling infrastructure elements"))</f>
        <v>0.11842105263157894</v>
      </c>
      <c r="B135" t="s">
        <v>122</v>
      </c>
      <c r="C135" s="15">
        <f>(COUNTIFS('MSME policies catalogue'!O6:O248, "*Incentives to financial institutions*",'MSME policies catalogue'!C6:C248, Codes!C2 ))/COUNTIFS('MSME policies catalogue'!C6:C248, Codes!C2, 'MSME policies catalogue'!O6:O248,"&lt;&gt;No information found", 'MSME policies catalogue'!O6:O248,"&lt;&gt;No enabling infrastructure elements")</f>
        <v>7.1428571428571425E-2</v>
      </c>
      <c r="D135" s="15">
        <f>(COUNTIFS('MSME policies catalogue'!O6:O248, "*Incentives to financial institutions*",'MSME policies catalogue'!D6:D248, Codes!D2 ))/COUNTIFS('MSME policies catalogue'!D6:D248, Codes!D2, 'MSME policies catalogue'!O6:O248,"&lt;&gt;No information found", 'MSME policies catalogue'!O6:O248,"&lt;&gt;No enabling infrastructure elements")</f>
        <v>0</v>
      </c>
      <c r="E135" s="15" t="e">
        <f>(COUNTIFS('MSME policies catalogue'!O6:O248, "*Incentives to financial institutions*", 'MSME policies catalogue'!T6:T248, "Yes"))/(COUNTIFS(#REF!,"&lt;&gt;No specific target sector",'MSME policies catalogue'!O6:O248, "&lt;&gt;No information found", 'MSME policies catalogue'!T6:T248, "Yes", 'MSME policies catalogue'!O6:O248,"&lt;&gt;No enabling infrastructure elements" ))</f>
        <v>#REF!</v>
      </c>
      <c r="F135" s="15">
        <f>(COUNTIFS('MSME policies catalogue'!O6:O248, "*Incentives to financial institutions*", 'MSME policies catalogue'!J6:J248, "Yes"))/(COUNTIFS('MSME policies catalogue'!O6:O248,"&lt;&gt;No information found",'MSME policies catalogue'!O6:O248,"&lt;&gt;No specific target sector",'MSME policies catalogue'!J6:J248, "&lt;&gt;Unsure", 'MSME policies catalogue'!J6:J248, "Yes",'MSME policies catalogue'!O6:O248,"&lt;&gt;No enabling infrastructure elements" ))</f>
        <v>9.3333333333333338E-2</v>
      </c>
    </row>
    <row r="136" spans="1:10" x14ac:dyDescent="0.25">
      <c r="D136" s="15"/>
      <c r="F136" s="15"/>
    </row>
    <row r="139" spans="1:10" x14ac:dyDescent="0.25">
      <c r="A139" s="16" t="s">
        <v>237</v>
      </c>
      <c r="B139" t="s">
        <v>191</v>
      </c>
      <c r="C139" s="16" t="s">
        <v>22</v>
      </c>
      <c r="D139" s="16" t="s">
        <v>178</v>
      </c>
      <c r="E139" s="16" t="s">
        <v>238</v>
      </c>
      <c r="F139" s="16" t="s">
        <v>239</v>
      </c>
      <c r="G139" s="16"/>
      <c r="H139" s="16"/>
      <c r="I139" s="16"/>
      <c r="J139" s="16"/>
    </row>
    <row r="140" spans="1:10" x14ac:dyDescent="0.25">
      <c r="A140" s="16">
        <f>COUNTIF('MSME policies catalogue'!Y6:Y248, "Yes")</f>
        <v>76</v>
      </c>
      <c r="B140" s="16" t="s">
        <v>240</v>
      </c>
      <c r="C140">
        <f>COUNTIFS('MSME policies catalogue'!Y6:Y248, "*Yes*", 'MSME policies catalogue'!C6:C248, Codes!C2)</f>
        <v>19</v>
      </c>
      <c r="D140">
        <f>COUNTIFS('MSME policies catalogue'!Y6:Y248, "*Yes*", 'MSME policies catalogue'!D6:D248, Codes!D2)</f>
        <v>1</v>
      </c>
      <c r="E140">
        <f>COUNTIFS('MSME policies catalogue'!Y6:Y248, "*Yes*", 'MSME policies catalogue'!T6:T248, "Yes")</f>
        <v>5</v>
      </c>
      <c r="F140">
        <f>COUNTIFS('MSME policies catalogue'!Y6:Y248, "*Yes*", 'MSME policies catalogue'!J6:J248,"Yes")</f>
        <v>48</v>
      </c>
    </row>
    <row r="141" spans="1:10" x14ac:dyDescent="0.25">
      <c r="A141" s="15">
        <f>(COUNTIF('MSME policies catalogue'!Y6:Y248, "Yes"))/(COUNTIF('MSME policies catalogue'!Y6:Y248, "&lt;&gt;No information available"))</f>
        <v>0.61290322580645162</v>
      </c>
      <c r="B141" s="16" t="s">
        <v>193</v>
      </c>
      <c r="C141" s="15">
        <f>(COUNTIFS('MSME policies catalogue'!Y6:Y248, "*Yes*",'MSME policies catalogue'!C6:C248, Codes!C2 ))/COUNTIFS('MSME policies catalogue'!C6:C248, Codes!C2, 'MSME policies catalogue'!Y6:Y248,"&lt;&gt;No information available")</f>
        <v>0.59375</v>
      </c>
      <c r="D141" s="15">
        <f>(COUNTIFS('MSME policies catalogue'!Y6:Y248, "*Yes*",'MSME policies catalogue'!D6:D248, Codes!D2 ))/COUNTIFS('MSME policies catalogue'!D6:D248, Codes!D2, 'MSME policies catalogue'!Y6:Y248,"&lt;&gt;No information available")</f>
        <v>0.25</v>
      </c>
      <c r="E141" s="15" t="e">
        <f>(COUNTIFS('MSME policies catalogue'!Y6:Y248, "*Yes*", 'MSME policies catalogue'!T6:T248, "Yes"))/(COUNTIFS(#REF!,"&lt;&gt;No information available", 'MSME policies catalogue'!T6:T248, "Yes" ))</f>
        <v>#REF!</v>
      </c>
      <c r="F141" s="15">
        <f>(COUNTIFS('MSME policies catalogue'!Y6:Y248, "*Yes*", 'MSME policies catalogue'!J6:J248, "Yes"))/(COUNTIFS('MSME policies catalogue'!Y6:Y248,"&lt;&gt;No information available",'MSME policies catalogue'!J6:J248, "&lt;&gt;Unsure", 'MSME policies catalogue'!J6:J248, "Yes" ))</f>
        <v>0.76190476190476186</v>
      </c>
    </row>
    <row r="142" spans="1:10" x14ac:dyDescent="0.25">
      <c r="A142">
        <f>COUNTIF('MSME policies catalogue'!V6:V248, "Yes")</f>
        <v>63</v>
      </c>
      <c r="B142" s="16" t="s">
        <v>241</v>
      </c>
      <c r="C142">
        <f>COUNTIFS('MSME policies catalogue'!V6:V248, "*Yes*", 'MSME policies catalogue'!C6:C248, Codes!C2)</f>
        <v>13</v>
      </c>
      <c r="D142">
        <f>COUNTIFS('MSME policies catalogue'!V6:V248, "*Yes*", 'MSME policies catalogue'!D6:D248, Codes!D2)</f>
        <v>2</v>
      </c>
      <c r="E142">
        <f>COUNTIFS('MSME policies catalogue'!V6:V248, "*Yes*", 'MSME policies catalogue'!T6:T248, "Yes")</f>
        <v>8</v>
      </c>
      <c r="F142">
        <f>COUNTIFS('MSME policies catalogue'!V6:V248, "*Yes*", 'MSME policies catalogue'!J6:J248,"Yes")</f>
        <v>45</v>
      </c>
    </row>
    <row r="143" spans="1:10" x14ac:dyDescent="0.25">
      <c r="A143" s="15">
        <f>(COUNTIF('MSME policies catalogue'!V6:V248, "Yes"))/(COUNTIF('MSME policies catalogue'!V6:V248, "&lt;&gt;No information available"))</f>
        <v>0.38650306748466257</v>
      </c>
      <c r="B143" s="16" t="s">
        <v>192</v>
      </c>
      <c r="C143" s="15">
        <f>(COUNTIFS('MSME policies catalogue'!V6:V248, "*Yes*",'MSME policies catalogue'!C6:C248, Codes!C2 ))/COUNTIFS('MSME policies catalogue'!C6:C248, Codes!C2, 'MSME policies catalogue'!V6:V248,"&lt;&gt;No information available")</f>
        <v>0.30952380952380953</v>
      </c>
      <c r="D143" s="15">
        <f>(COUNTIFS('MSME policies catalogue'!V6:V248, "*Yes*",'MSME policies catalogue'!D6:D248, Codes!D2 ))/COUNTIFS('MSME policies catalogue'!D6:D248, Codes!D2, 'MSME policies catalogue'!V6:V248,"&lt;&gt;No information available")</f>
        <v>0.25</v>
      </c>
      <c r="E143" s="15" t="e">
        <f>(COUNTIFS('MSME policies catalogue'!V6:V248, "*Yes*", 'MSME policies catalogue'!T6:T248, "Yes"))/(COUNTIFS(#REF!,"&lt;&gt;No information available", 'MSME policies catalogue'!T6:T248, "Yes" ))</f>
        <v>#REF!</v>
      </c>
      <c r="F143" s="15">
        <f>(COUNTIFS('MSME policies catalogue'!V6:V248, "*Yes*", 'MSME policies catalogue'!J6:J248, "Yes"))/(COUNTIFS('MSME policies catalogue'!V6:V248,"&lt;&gt;No information available",'MSME policies catalogue'!J6:J248, "&lt;&gt;Unsure", 'MSME policies catalogue'!J6:J248, "Yes" ))</f>
        <v>0.57692307692307687</v>
      </c>
    </row>
    <row r="147" spans="1:8" ht="30" x14ac:dyDescent="0.25">
      <c r="A147" s="16" t="s">
        <v>194</v>
      </c>
      <c r="B147" t="s">
        <v>242</v>
      </c>
      <c r="C147" s="16" t="s">
        <v>22</v>
      </c>
      <c r="D147" s="16" t="s">
        <v>178</v>
      </c>
      <c r="E147" s="16" t="s">
        <v>238</v>
      </c>
      <c r="F147" s="16" t="s">
        <v>239</v>
      </c>
    </row>
    <row r="148" spans="1:8" x14ac:dyDescent="0.25">
      <c r="A148">
        <f>COUNTIF('MSME policies catalogue'!M6:M248, "*Overarching policy*")</f>
        <v>0</v>
      </c>
      <c r="B148" t="s">
        <v>148</v>
      </c>
      <c r="C148">
        <f>COUNTIFS('MSME policies catalogue'!M6:M248, "*Overarching policy*", 'MSME policies catalogue'!C6:C248, Codes!C2)</f>
        <v>0</v>
      </c>
      <c r="D148">
        <f>COUNTIFS('MSME policies catalogue'!M6:M248, "*Overarching policy*", 'MSME policies catalogue'!D6:D248, Codes!D2)</f>
        <v>0</v>
      </c>
      <c r="E148">
        <f>COUNTIFS('MSME policies catalogue'!M6:M248, "*Overarching policy*", 'MSME policies catalogue'!T6:T248, "Yes")</f>
        <v>0</v>
      </c>
      <c r="F148">
        <f>COUNTIFS('MSME policies catalogue'!M6:M248, "*Overarching policy*", 'MSME policies catalogue'!J6:J248,"Yes")</f>
        <v>0</v>
      </c>
    </row>
    <row r="149" spans="1:8" x14ac:dyDescent="0.25">
      <c r="A149" s="23">
        <f>COUNTIF('MSME policies catalogue'!M6:M248, "*Policy action plan*")</f>
        <v>0</v>
      </c>
      <c r="B149" s="23" t="s">
        <v>149</v>
      </c>
      <c r="C149" s="23">
        <f>COUNTIFS('MSME policies catalogue'!M6:M248, "*Policy action plan*", 'MSME policies catalogue'!C6:C248, Codes!C2)</f>
        <v>0</v>
      </c>
      <c r="D149" s="23">
        <f>COUNTIFS('MSME policies catalogue'!M6:M248, "*Policy action plan*", 'MSME policies catalogue'!D6:D248, Codes!D2)</f>
        <v>0</v>
      </c>
      <c r="E149" s="23">
        <f>COUNTIFS('MSME policies catalogue'!M6:M248, "*Policy action plan*", 'MSME policies catalogue'!T6:T248, "Yes")</f>
        <v>0</v>
      </c>
      <c r="F149" s="23">
        <f>COUNTIFS('MSME policies catalogue'!M6:M248, "*Policy action plan*", 'MSME policies catalogue'!J6:J248,"Yes")</f>
        <v>0</v>
      </c>
      <c r="G149" s="23"/>
    </row>
    <row r="150" spans="1:8" x14ac:dyDescent="0.25">
      <c r="A150">
        <f>COUNTIF('MSME policies catalogue'!M6:M248, "*Policy intervention*")</f>
        <v>0</v>
      </c>
      <c r="B150" t="s">
        <v>150</v>
      </c>
      <c r="C150">
        <f>COUNTIFS('MSME policies catalogue'!M6:M248, "*Policy intervention*", 'MSME policies catalogue'!C6:C248, Codes!C2)</f>
        <v>0</v>
      </c>
      <c r="D150">
        <f>COUNTIFS('MSME policies catalogue'!M6:M248, "*Policy intervention*", 'MSME policies catalogue'!D6:D248, Codes!D2)</f>
        <v>0</v>
      </c>
      <c r="E150">
        <f>COUNTIFS('MSME policies catalogue'!M6:M248, "*Policy intervention*", 'MSME policies catalogue'!T6:T248, "Yes")</f>
        <v>0</v>
      </c>
      <c r="F150">
        <f>COUNTIFS('MSME policies catalogue'!M6:M248, "*Policy intervention*", 'MSME policies catalogue'!J6:J248,"Yes")</f>
        <v>0</v>
      </c>
    </row>
    <row r="151" spans="1:8" x14ac:dyDescent="0.25">
      <c r="A151">
        <f>COUNTIF('MSME policies catalogue'!M6:M248, "*Policy facility*")</f>
        <v>0</v>
      </c>
      <c r="B151" t="s">
        <v>151</v>
      </c>
      <c r="C151">
        <f>COUNTIFS('MSME policies catalogue'!M6:M248, "*Policy facility*", 'MSME policies catalogue'!C6:C248, Codes!C2)</f>
        <v>0</v>
      </c>
      <c r="D151">
        <f>COUNTIFS('MSME policies catalogue'!M6:M248, "*Policy facility*", 'MSME policies catalogue'!D6:D248, Codes!D2)</f>
        <v>0</v>
      </c>
      <c r="E151">
        <f>COUNTIFS('MSME policies catalogue'!M6:M248, "*Policy facility*", 'MSME policies catalogue'!T6:T248, "Yes")</f>
        <v>0</v>
      </c>
      <c r="F151">
        <f>COUNTIFS('MSME policies catalogue'!M6:M248, "*Policy facility*", 'MSME policies catalogue'!J6:J248,"Yes")</f>
        <v>0</v>
      </c>
    </row>
    <row r="155" spans="1:8" x14ac:dyDescent="0.25">
      <c r="A155" s="16" t="s">
        <v>233</v>
      </c>
      <c r="B155" t="s">
        <v>242</v>
      </c>
      <c r="C155" s="16" t="s">
        <v>22</v>
      </c>
      <c r="D155" s="16" t="s">
        <v>178</v>
      </c>
      <c r="E155" s="16" t="s">
        <v>238</v>
      </c>
      <c r="F155" s="16" t="s">
        <v>239</v>
      </c>
    </row>
    <row r="156" spans="1:8" x14ac:dyDescent="0.25">
      <c r="A156" s="15">
        <f>COUNTIF('MSME policies catalogue'!M6:M248, "*Overarching policy*")/(COUNTIF('MSME policies catalogue'!Y6:Y248, "&lt;&gt;"""))</f>
        <v>0</v>
      </c>
      <c r="B156" t="s">
        <v>148</v>
      </c>
      <c r="C156" s="15">
        <f>(COUNTIFS('MSME policies catalogue'!M6:M248, "*Overarching policy*",'MSME policies catalogue'!C6:C248, Codes!C2 ))/COUNTIFS('MSME policies catalogue'!C6:C248, Codes!C2, 'MSME policies catalogue'!Y6:Y248,"&lt;&gt;""")</f>
        <v>0</v>
      </c>
      <c r="D156" s="15">
        <f>(COUNTIFS('MSME policies catalogue'!M6:M248, "*Overarching policy*",'MSME policies catalogue'!D6:D248, Codes!D2 ))/COUNTIFS('MSME policies catalogue'!D6:D248, Codes!D2, 'MSME policies catalogue'!M6:M248,"&lt;&gt;""")</f>
        <v>0</v>
      </c>
      <c r="E156" s="15" t="e">
        <f>(COUNTIFS('MSME policies catalogue'!M6:M248, "*Overarching policy*", 'MSME policies catalogue'!T6:T248, "Yes"))/(COUNTIF(#REF!,"&lt;&gt;""" ))</f>
        <v>#REF!</v>
      </c>
      <c r="F156" s="15">
        <f>(COUNTIFS('MSME policies catalogue'!M6:M248, "*Overarching policy*", 'MSME policies catalogue'!J6:J248, "Yes"))/(COUNTIFS('MSME policies catalogue'!M6:M248,"&lt;&gt;""",'MSME policies catalogue'!J6:J248, "&lt;&gt;Unsure" ))</f>
        <v>0</v>
      </c>
    </row>
    <row r="157" spans="1:8" x14ac:dyDescent="0.25">
      <c r="A157" s="24">
        <f>COUNTIF('MSME policies catalogue'!M6:M248, "*Policy action plan*")/(COUNTIF('MSME policies catalogue'!Y6:Y248, "&lt;&gt;"""))</f>
        <v>0</v>
      </c>
      <c r="B157" s="23" t="s">
        <v>149</v>
      </c>
      <c r="C157" s="24">
        <f>(COUNTIFS('MSME policies catalogue'!M6:M248, "*Policy action plan*",'MSME policies catalogue'!C6:C248, Codes!C2 ))/COUNTIFS('MSME policies catalogue'!C6:C248, Codes!C2, 'MSME policies catalogue'!Y6:Y248,"&lt;&gt;""")</f>
        <v>0</v>
      </c>
      <c r="D157" s="24">
        <f>(COUNTIFS('MSME policies catalogue'!M6:M248, "*Policy action plan*",'MSME policies catalogue'!D6:D248, Codes!D2 ))/COUNTIFS('MSME policies catalogue'!D6:D248, Codes!D2, 'MSME policies catalogue'!M6:M248,"&lt;&gt;""")</f>
        <v>0</v>
      </c>
      <c r="E157" s="24" t="e">
        <f>(COUNTIFS('MSME policies catalogue'!M6:M248, "*Policy action plan*", 'MSME policies catalogue'!T6:T248, "Yes"))/(COUNTIFS(#REF!,"&lt;&gt;""", 'MSME policies catalogue'!T6:T248, "Yes" ))</f>
        <v>#REF!</v>
      </c>
      <c r="F157" s="24">
        <f>(COUNTIFS('MSME policies catalogue'!M6:M248, "*Policy action plan*", 'MSME policies catalogue'!J6:J248, "Yes"))/(COUNTIFS('MSME policies catalogue'!M6:M248,"&lt;&gt;""",'MSME policies catalogue'!J6:J248, "&lt;&gt;Unsure",  'MSME policies catalogue'!J6:J248, "Yes"))</f>
        <v>0</v>
      </c>
      <c r="G157" s="23"/>
      <c r="H157" s="23"/>
    </row>
    <row r="158" spans="1:8" x14ac:dyDescent="0.25">
      <c r="A158" s="15">
        <f>COUNTIF('MSME policies catalogue'!M6:M248, "*Policy intervention*")/(COUNTIF('MSME policies catalogue'!Y6:Y248, "&lt;&gt;"""))</f>
        <v>0</v>
      </c>
      <c r="B158" t="s">
        <v>150</v>
      </c>
      <c r="C158" s="15">
        <f>(COUNTIFS('MSME policies catalogue'!M6:M248, "*Policy intervention*",'MSME policies catalogue'!C6:C248, Codes!C2 ))/COUNTIFS('MSME policies catalogue'!C6:C248, Codes!C2, 'MSME policies catalogue'!Y6:Y248,"&lt;&gt;""")</f>
        <v>0</v>
      </c>
      <c r="D158" s="15">
        <f>(COUNTIFS('MSME policies catalogue'!M6:M248, "*Policy intervention*",'MSME policies catalogue'!D6:D248, Codes!D2 ))/COUNTIFS('MSME policies catalogue'!D6:D248, Codes!D2, 'MSME policies catalogue'!M6:M248,"&lt;&gt;""")</f>
        <v>0</v>
      </c>
      <c r="E158" s="15" t="e">
        <f>(COUNTIFS('MSME policies catalogue'!M6:M248, "*Policy intervention*", 'MSME policies catalogue'!T6:T248, "Yes"))/(COUNTIFS(#REF!,"&lt;&gt;""", 'MSME policies catalogue'!T6:T248, "Yes" ))</f>
        <v>#REF!</v>
      </c>
      <c r="F158" s="15">
        <f>(COUNTIFS('MSME policies catalogue'!M6:M248, "*Policy intervention*", 'MSME policies catalogue'!J6:J248, "Yes"))/(COUNTIFS('MSME policies catalogue'!M6:M248,"&lt;&gt;""",'MSME policies catalogue'!J6:J248, "&lt;&gt;Unsure",  'MSME policies catalogue'!J6:J248, "Yes"))</f>
        <v>0</v>
      </c>
    </row>
    <row r="159" spans="1:8" x14ac:dyDescent="0.25">
      <c r="A159" s="15">
        <f>COUNTIF('MSME policies catalogue'!M6:M248, "*Policy facility*")/(COUNTIF('MSME policies catalogue'!Y6:Y248, "&lt;&gt;"""))</f>
        <v>0</v>
      </c>
      <c r="B159" t="s">
        <v>151</v>
      </c>
      <c r="C159" s="15">
        <f>(COUNTIFS('MSME policies catalogue'!M6:M248, "*Policy facility*",'MSME policies catalogue'!C6:C248, Codes!C2 ))/COUNTIFS('MSME policies catalogue'!C6:C248, Codes!C2, 'MSME policies catalogue'!Y6:Y248,"&lt;&gt;""")</f>
        <v>0</v>
      </c>
      <c r="D159" s="15">
        <f>(COUNTIFS('MSME policies catalogue'!M6:M248, "*Policy facility*",'MSME policies catalogue'!D6:D248, Codes!D2 ))/COUNTIFS('MSME policies catalogue'!D6:D248, Codes!D2, 'MSME policies catalogue'!M6:M248,"&lt;&gt;""")</f>
        <v>0</v>
      </c>
      <c r="E159" s="15" t="e">
        <f>(COUNTIFS('MSME policies catalogue'!M6:M248, "*Policy facility*", 'MSME policies catalogue'!T6:T248, "Yes"))/(COUNTIFS(#REF!,"&lt;&gt;""", 'MSME policies catalogue'!T6:T248, "Yes" ))</f>
        <v>#REF!</v>
      </c>
      <c r="F159" s="15">
        <f>(COUNTIFS('MSME policies catalogue'!M6:M248, "*Policy facility*", 'MSME policies catalogue'!J6:J248, "Yes"))/(COUNTIFS('MSME policies catalogue'!M6:M248,"&lt;&gt;""",'MSME policies catalogue'!J6:J248, "&lt;&gt;Unsure",  'MSME policies catalogue'!J6:J248, "Yes"))</f>
        <v>0</v>
      </c>
    </row>
  </sheetData>
  <sortState xmlns:xlrd2="http://schemas.microsoft.com/office/spreadsheetml/2017/richdata2" ref="A29:F39">
    <sortCondition ref="A29"/>
  </sortState>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1285358A-83D0-471F-80A7-881A45C1D00E}">
          <x14:formula1>
            <xm:f>'Drop-down'!$A$11:$A$15</xm:f>
          </x14:formula1>
          <xm:sqref>C2</xm:sqref>
        </x14:dataValidation>
        <x14:dataValidation type="list" allowBlank="1" showInputMessage="1" showErrorMessage="1" xr:uid="{2DC629C0-A364-4519-BD27-13D483DF672A}">
          <x14:formula1>
            <xm:f>'Drop-down'!$A$42:$A$45</xm:f>
          </x14:formula1>
          <xm:sqref>D2</xm:sqref>
        </x14:dataValidation>
        <x14:dataValidation type="list" allowBlank="1" showInputMessage="1" showErrorMessage="1" xr:uid="{60C93167-424C-4FAA-8F5B-CC3D45A35357}">
          <x14:formula1>
            <xm:f>'Source for Dashboard'!$F$2:$F$55</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6C83-468A-443A-95A7-0ECEC2CFA9C1}">
  <dimension ref="B1:S56"/>
  <sheetViews>
    <sheetView topLeftCell="A22" workbookViewId="0">
      <selection activeCell="P105" sqref="P105"/>
    </sheetView>
  </sheetViews>
  <sheetFormatPr defaultColWidth="9.140625" defaultRowHeight="15" x14ac:dyDescent="0.25"/>
  <cols>
    <col min="2" max="2" width="24" customWidth="1"/>
    <col min="3" max="3" width="15.7109375" customWidth="1"/>
    <col min="6" max="6" width="33.7109375" customWidth="1"/>
    <col min="7" max="7" width="20.5703125" customWidth="1"/>
    <col min="10" max="10" width="38.7109375" customWidth="1"/>
    <col min="11" max="11" width="18" customWidth="1"/>
  </cols>
  <sheetData>
    <row r="1" spans="2:19" x14ac:dyDescent="0.25">
      <c r="B1" t="s">
        <v>243</v>
      </c>
      <c r="C1" t="s">
        <v>22</v>
      </c>
      <c r="F1" t="s">
        <v>244</v>
      </c>
      <c r="G1" t="s">
        <v>178</v>
      </c>
      <c r="J1" t="s">
        <v>220</v>
      </c>
      <c r="S1" t="s">
        <v>231</v>
      </c>
    </row>
    <row r="2" spans="2:19" x14ac:dyDescent="0.25">
      <c r="B2" t="s">
        <v>198</v>
      </c>
      <c r="C2" t="s">
        <v>42</v>
      </c>
      <c r="F2" t="s">
        <v>198</v>
      </c>
      <c r="G2" t="s">
        <v>43</v>
      </c>
      <c r="J2" t="s">
        <v>75</v>
      </c>
      <c r="K2" s="15"/>
      <c r="S2" t="s">
        <v>76</v>
      </c>
    </row>
    <row r="3" spans="2:19" x14ac:dyDescent="0.25">
      <c r="B3" t="s">
        <v>245</v>
      </c>
      <c r="C3" t="s">
        <v>24</v>
      </c>
      <c r="F3" t="s">
        <v>245</v>
      </c>
      <c r="G3" t="s">
        <v>43</v>
      </c>
      <c r="J3" t="s">
        <v>81</v>
      </c>
      <c r="K3" s="15"/>
      <c r="S3" t="s">
        <v>82</v>
      </c>
    </row>
    <row r="4" spans="2:19" x14ac:dyDescent="0.25">
      <c r="B4" t="s">
        <v>246</v>
      </c>
      <c r="C4" t="s">
        <v>197</v>
      </c>
      <c r="F4" t="s">
        <v>246</v>
      </c>
      <c r="G4" t="s">
        <v>43</v>
      </c>
      <c r="J4" t="s">
        <v>87</v>
      </c>
      <c r="K4" s="15"/>
      <c r="S4" t="s">
        <v>88</v>
      </c>
    </row>
    <row r="5" spans="2:19" x14ac:dyDescent="0.25">
      <c r="B5" t="s">
        <v>247</v>
      </c>
      <c r="C5" t="s">
        <v>30</v>
      </c>
      <c r="F5" t="s">
        <v>247</v>
      </c>
      <c r="G5" t="s">
        <v>248</v>
      </c>
      <c r="J5" t="s">
        <v>93</v>
      </c>
      <c r="K5" s="15"/>
      <c r="S5" t="s">
        <v>94</v>
      </c>
    </row>
    <row r="6" spans="2:19" x14ac:dyDescent="0.25">
      <c r="B6" t="s">
        <v>249</v>
      </c>
      <c r="C6" t="s">
        <v>197</v>
      </c>
      <c r="F6" t="s">
        <v>249</v>
      </c>
      <c r="G6" t="s">
        <v>250</v>
      </c>
      <c r="J6" t="s">
        <v>123</v>
      </c>
      <c r="K6" s="15"/>
      <c r="S6" t="s">
        <v>100</v>
      </c>
    </row>
    <row r="7" spans="2:19" x14ac:dyDescent="0.25">
      <c r="B7" t="s">
        <v>251</v>
      </c>
      <c r="C7" t="s">
        <v>252</v>
      </c>
      <c r="F7" t="s">
        <v>251</v>
      </c>
      <c r="G7" t="s">
        <v>250</v>
      </c>
      <c r="J7" t="s">
        <v>111</v>
      </c>
      <c r="K7" s="15"/>
      <c r="S7" t="s">
        <v>106</v>
      </c>
    </row>
    <row r="8" spans="2:19" x14ac:dyDescent="0.25">
      <c r="B8" t="s">
        <v>253</v>
      </c>
      <c r="C8" t="s">
        <v>24</v>
      </c>
      <c r="F8" t="s">
        <v>253</v>
      </c>
      <c r="G8" t="s">
        <v>43</v>
      </c>
      <c r="J8" t="s">
        <v>117</v>
      </c>
      <c r="K8" s="15"/>
      <c r="S8" t="s">
        <v>112</v>
      </c>
    </row>
    <row r="9" spans="2:19" x14ac:dyDescent="0.25">
      <c r="B9" t="s">
        <v>254</v>
      </c>
      <c r="C9" t="s">
        <v>197</v>
      </c>
      <c r="F9" t="s">
        <v>254</v>
      </c>
      <c r="G9" t="s">
        <v>43</v>
      </c>
      <c r="J9" t="s">
        <v>99</v>
      </c>
      <c r="K9" s="15"/>
      <c r="S9" t="s">
        <v>118</v>
      </c>
    </row>
    <row r="10" spans="2:19" x14ac:dyDescent="0.25">
      <c r="B10" t="s">
        <v>255</v>
      </c>
      <c r="C10" t="s">
        <v>24</v>
      </c>
      <c r="F10" t="s">
        <v>255</v>
      </c>
      <c r="G10" t="s">
        <v>250</v>
      </c>
      <c r="J10" t="s">
        <v>105</v>
      </c>
      <c r="K10" s="15"/>
      <c r="S10" t="s">
        <v>124</v>
      </c>
    </row>
    <row r="11" spans="2:19" x14ac:dyDescent="0.25">
      <c r="B11" t="s">
        <v>256</v>
      </c>
      <c r="C11" t="s">
        <v>24</v>
      </c>
      <c r="F11" t="s">
        <v>256</v>
      </c>
      <c r="G11" t="s">
        <v>250</v>
      </c>
      <c r="J11" t="s">
        <v>131</v>
      </c>
      <c r="K11" s="15"/>
      <c r="S11" t="s">
        <v>128</v>
      </c>
    </row>
    <row r="12" spans="2:19" x14ac:dyDescent="0.25">
      <c r="B12" t="s">
        <v>257</v>
      </c>
      <c r="C12" t="s">
        <v>252</v>
      </c>
      <c r="F12" t="s">
        <v>257</v>
      </c>
      <c r="G12" t="s">
        <v>43</v>
      </c>
      <c r="J12" t="s">
        <v>127</v>
      </c>
      <c r="K12" s="15"/>
      <c r="S12" t="s">
        <v>132</v>
      </c>
    </row>
    <row r="13" spans="2:19" x14ac:dyDescent="0.25">
      <c r="B13" t="s">
        <v>258</v>
      </c>
      <c r="C13" t="s">
        <v>197</v>
      </c>
      <c r="F13" t="s">
        <v>258</v>
      </c>
      <c r="G13" t="s">
        <v>43</v>
      </c>
      <c r="S13" t="s">
        <v>135</v>
      </c>
    </row>
    <row r="14" spans="2:19" x14ac:dyDescent="0.25">
      <c r="B14" t="s">
        <v>259</v>
      </c>
      <c r="C14" t="s">
        <v>24</v>
      </c>
      <c r="F14" t="s">
        <v>259</v>
      </c>
      <c r="G14" t="s">
        <v>250</v>
      </c>
      <c r="S14" t="s">
        <v>137</v>
      </c>
    </row>
    <row r="15" spans="2:19" x14ac:dyDescent="0.25">
      <c r="B15" t="s">
        <v>260</v>
      </c>
      <c r="C15" t="s">
        <v>252</v>
      </c>
      <c r="F15" t="s">
        <v>260</v>
      </c>
      <c r="G15" t="s">
        <v>43</v>
      </c>
    </row>
    <row r="16" spans="2:19" x14ac:dyDescent="0.25">
      <c r="B16" t="s">
        <v>261</v>
      </c>
      <c r="C16" t="s">
        <v>42</v>
      </c>
      <c r="F16" t="s">
        <v>261</v>
      </c>
      <c r="G16" t="s">
        <v>43</v>
      </c>
    </row>
    <row r="17" spans="2:7" x14ac:dyDescent="0.25">
      <c r="B17" t="s">
        <v>262</v>
      </c>
      <c r="C17" t="s">
        <v>24</v>
      </c>
      <c r="F17" t="s">
        <v>262</v>
      </c>
      <c r="G17" t="s">
        <v>248</v>
      </c>
    </row>
    <row r="18" spans="2:7" x14ac:dyDescent="0.25">
      <c r="B18" t="s">
        <v>263</v>
      </c>
      <c r="C18" t="s">
        <v>252</v>
      </c>
      <c r="F18" t="s">
        <v>263</v>
      </c>
      <c r="G18" t="s">
        <v>250</v>
      </c>
    </row>
    <row r="19" spans="2:7" x14ac:dyDescent="0.25">
      <c r="B19" t="s">
        <v>264</v>
      </c>
      <c r="C19" t="s">
        <v>30</v>
      </c>
      <c r="F19" t="s">
        <v>264</v>
      </c>
      <c r="G19" t="s">
        <v>43</v>
      </c>
    </row>
    <row r="20" spans="2:7" x14ac:dyDescent="0.25">
      <c r="B20" t="s">
        <v>265</v>
      </c>
      <c r="C20" t="s">
        <v>252</v>
      </c>
      <c r="F20" t="s">
        <v>265</v>
      </c>
      <c r="G20" t="s">
        <v>250</v>
      </c>
    </row>
    <row r="21" spans="2:7" x14ac:dyDescent="0.25">
      <c r="B21" t="s">
        <v>266</v>
      </c>
      <c r="C21" t="s">
        <v>24</v>
      </c>
      <c r="F21" t="s">
        <v>266</v>
      </c>
      <c r="G21" t="s">
        <v>248</v>
      </c>
    </row>
    <row r="22" spans="2:7" x14ac:dyDescent="0.25">
      <c r="B22" t="s">
        <v>267</v>
      </c>
      <c r="C22" t="s">
        <v>197</v>
      </c>
      <c r="F22" t="s">
        <v>267</v>
      </c>
      <c r="G22" t="s">
        <v>43</v>
      </c>
    </row>
    <row r="23" spans="2:7" x14ac:dyDescent="0.25">
      <c r="B23" t="s">
        <v>268</v>
      </c>
      <c r="C23" t="s">
        <v>197</v>
      </c>
      <c r="F23" t="s">
        <v>268</v>
      </c>
      <c r="G23" t="s">
        <v>250</v>
      </c>
    </row>
    <row r="24" spans="2:7" x14ac:dyDescent="0.25">
      <c r="B24" t="s">
        <v>269</v>
      </c>
      <c r="C24" t="s">
        <v>197</v>
      </c>
      <c r="F24" t="s">
        <v>269</v>
      </c>
      <c r="G24" t="s">
        <v>250</v>
      </c>
    </row>
    <row r="25" spans="2:7" x14ac:dyDescent="0.25">
      <c r="B25" t="s">
        <v>270</v>
      </c>
      <c r="C25" t="s">
        <v>252</v>
      </c>
      <c r="F25" t="s">
        <v>270</v>
      </c>
      <c r="G25" t="s">
        <v>43</v>
      </c>
    </row>
    <row r="26" spans="2:7" x14ac:dyDescent="0.25">
      <c r="B26" t="s">
        <v>271</v>
      </c>
      <c r="C26" t="s">
        <v>30</v>
      </c>
      <c r="F26" t="s">
        <v>271</v>
      </c>
      <c r="G26" t="s">
        <v>43</v>
      </c>
    </row>
    <row r="27" spans="2:7" x14ac:dyDescent="0.25">
      <c r="B27" t="s">
        <v>272</v>
      </c>
      <c r="C27" t="s">
        <v>197</v>
      </c>
      <c r="F27" t="s">
        <v>272</v>
      </c>
      <c r="G27" t="s">
        <v>250</v>
      </c>
    </row>
    <row r="28" spans="2:7" x14ac:dyDescent="0.25">
      <c r="B28" t="s">
        <v>273</v>
      </c>
      <c r="C28" t="s">
        <v>42</v>
      </c>
      <c r="F28" t="s">
        <v>273</v>
      </c>
      <c r="G28" t="s">
        <v>43</v>
      </c>
    </row>
    <row r="29" spans="2:7" x14ac:dyDescent="0.25">
      <c r="B29" t="s">
        <v>274</v>
      </c>
      <c r="C29" t="s">
        <v>252</v>
      </c>
      <c r="F29" t="s">
        <v>274</v>
      </c>
      <c r="G29" t="s">
        <v>250</v>
      </c>
    </row>
    <row r="30" spans="2:7" x14ac:dyDescent="0.25">
      <c r="B30" t="s">
        <v>275</v>
      </c>
      <c r="C30" t="s">
        <v>252</v>
      </c>
      <c r="F30" t="s">
        <v>275</v>
      </c>
      <c r="G30" t="s">
        <v>250</v>
      </c>
    </row>
    <row r="31" spans="2:7" x14ac:dyDescent="0.25">
      <c r="B31" t="s">
        <v>276</v>
      </c>
      <c r="C31" t="s">
        <v>197</v>
      </c>
      <c r="F31" t="s">
        <v>276</v>
      </c>
      <c r="G31" t="s">
        <v>250</v>
      </c>
    </row>
    <row r="32" spans="2:7" x14ac:dyDescent="0.25">
      <c r="B32" t="s">
        <v>277</v>
      </c>
      <c r="C32" t="s">
        <v>197</v>
      </c>
      <c r="F32" t="s">
        <v>277</v>
      </c>
      <c r="G32" t="s">
        <v>43</v>
      </c>
    </row>
    <row r="33" spans="2:7" x14ac:dyDescent="0.25">
      <c r="B33" t="s">
        <v>278</v>
      </c>
      <c r="C33" t="s">
        <v>252</v>
      </c>
      <c r="F33" t="s">
        <v>278</v>
      </c>
      <c r="G33" t="s">
        <v>25</v>
      </c>
    </row>
    <row r="34" spans="2:7" x14ac:dyDescent="0.25">
      <c r="B34" t="s">
        <v>279</v>
      </c>
      <c r="C34" t="s">
        <v>42</v>
      </c>
      <c r="F34" t="s">
        <v>279</v>
      </c>
      <c r="G34" t="s">
        <v>43</v>
      </c>
    </row>
    <row r="35" spans="2:7" x14ac:dyDescent="0.25">
      <c r="B35" t="s">
        <v>280</v>
      </c>
      <c r="C35" t="s">
        <v>252</v>
      </c>
      <c r="F35" t="s">
        <v>280</v>
      </c>
      <c r="G35" t="s">
        <v>250</v>
      </c>
    </row>
    <row r="36" spans="2:7" x14ac:dyDescent="0.25">
      <c r="B36" t="s">
        <v>281</v>
      </c>
      <c r="C36" t="s">
        <v>30</v>
      </c>
      <c r="F36" t="s">
        <v>281</v>
      </c>
      <c r="G36" t="s">
        <v>248</v>
      </c>
    </row>
    <row r="37" spans="2:7" x14ac:dyDescent="0.25">
      <c r="B37" t="s">
        <v>282</v>
      </c>
      <c r="C37" t="s">
        <v>197</v>
      </c>
      <c r="F37" t="s">
        <v>282</v>
      </c>
      <c r="G37" t="s">
        <v>250</v>
      </c>
    </row>
    <row r="38" spans="2:7" x14ac:dyDescent="0.25">
      <c r="B38" t="s">
        <v>283</v>
      </c>
      <c r="C38" t="s">
        <v>197</v>
      </c>
      <c r="F38" t="s">
        <v>284</v>
      </c>
      <c r="G38" t="s">
        <v>43</v>
      </c>
    </row>
    <row r="39" spans="2:7" x14ac:dyDescent="0.25">
      <c r="B39" t="s">
        <v>285</v>
      </c>
      <c r="C39" t="s">
        <v>24</v>
      </c>
      <c r="F39" t="s">
        <v>285</v>
      </c>
      <c r="G39" t="s">
        <v>43</v>
      </c>
    </row>
    <row r="40" spans="2:7" x14ac:dyDescent="0.25">
      <c r="B40" t="s">
        <v>286</v>
      </c>
      <c r="C40" t="s">
        <v>252</v>
      </c>
      <c r="F40" t="s">
        <v>286</v>
      </c>
      <c r="G40" t="s">
        <v>250</v>
      </c>
    </row>
    <row r="41" spans="2:7" x14ac:dyDescent="0.25">
      <c r="B41" t="s">
        <v>287</v>
      </c>
      <c r="C41" t="s">
        <v>24</v>
      </c>
      <c r="F41" t="s">
        <v>287</v>
      </c>
      <c r="G41" t="s">
        <v>43</v>
      </c>
    </row>
    <row r="42" spans="2:7" x14ac:dyDescent="0.25">
      <c r="B42" t="s">
        <v>288</v>
      </c>
      <c r="C42" t="s">
        <v>197</v>
      </c>
      <c r="F42" t="s">
        <v>288</v>
      </c>
      <c r="G42" t="s">
        <v>43</v>
      </c>
    </row>
    <row r="43" spans="2:7" x14ac:dyDescent="0.25">
      <c r="B43" t="s">
        <v>289</v>
      </c>
      <c r="C43" t="s">
        <v>252</v>
      </c>
      <c r="F43" t="s">
        <v>289</v>
      </c>
      <c r="G43" t="s">
        <v>25</v>
      </c>
    </row>
    <row r="44" spans="2:7" x14ac:dyDescent="0.25">
      <c r="B44" t="s">
        <v>290</v>
      </c>
      <c r="C44" t="s">
        <v>197</v>
      </c>
      <c r="F44" t="s">
        <v>290</v>
      </c>
      <c r="G44" t="s">
        <v>250</v>
      </c>
    </row>
    <row r="45" spans="2:7" x14ac:dyDescent="0.25">
      <c r="B45" t="s">
        <v>291</v>
      </c>
      <c r="C45" t="s">
        <v>252</v>
      </c>
      <c r="F45" t="s">
        <v>291</v>
      </c>
      <c r="G45" t="s">
        <v>250</v>
      </c>
    </row>
    <row r="46" spans="2:7" x14ac:dyDescent="0.25">
      <c r="B46" t="s">
        <v>292</v>
      </c>
      <c r="C46" t="s">
        <v>30</v>
      </c>
      <c r="F46" t="s">
        <v>292</v>
      </c>
      <c r="G46" t="s">
        <v>248</v>
      </c>
    </row>
    <row r="47" spans="2:7" x14ac:dyDescent="0.25">
      <c r="B47" t="s">
        <v>293</v>
      </c>
      <c r="C47" t="s">
        <v>252</v>
      </c>
      <c r="F47" t="s">
        <v>293</v>
      </c>
      <c r="G47" t="s">
        <v>250</v>
      </c>
    </row>
    <row r="48" spans="2:7" x14ac:dyDescent="0.25">
      <c r="B48" t="s">
        <v>294</v>
      </c>
      <c r="C48" t="s">
        <v>42</v>
      </c>
      <c r="F48" t="s">
        <v>294</v>
      </c>
      <c r="G48" t="s">
        <v>250</v>
      </c>
    </row>
    <row r="49" spans="2:7" x14ac:dyDescent="0.25">
      <c r="B49" t="s">
        <v>295</v>
      </c>
      <c r="C49" t="s">
        <v>252</v>
      </c>
      <c r="F49" t="s">
        <v>295</v>
      </c>
      <c r="G49" t="s">
        <v>43</v>
      </c>
    </row>
    <row r="50" spans="2:7" x14ac:dyDescent="0.25">
      <c r="B50" t="s">
        <v>296</v>
      </c>
      <c r="C50" t="s">
        <v>197</v>
      </c>
      <c r="F50" t="s">
        <v>296</v>
      </c>
      <c r="G50" t="s">
        <v>250</v>
      </c>
    </row>
    <row r="51" spans="2:7" x14ac:dyDescent="0.25">
      <c r="B51" t="s">
        <v>297</v>
      </c>
      <c r="C51" t="s">
        <v>197</v>
      </c>
      <c r="F51" t="s">
        <v>297</v>
      </c>
      <c r="G51" t="s">
        <v>250</v>
      </c>
    </row>
    <row r="52" spans="2:7" x14ac:dyDescent="0.25">
      <c r="B52" t="s">
        <v>298</v>
      </c>
      <c r="C52" t="s">
        <v>42</v>
      </c>
      <c r="F52" t="s">
        <v>298</v>
      </c>
      <c r="G52" t="s">
        <v>43</v>
      </c>
    </row>
    <row r="53" spans="2:7" x14ac:dyDescent="0.25">
      <c r="B53" t="s">
        <v>299</v>
      </c>
      <c r="C53" t="s">
        <v>252</v>
      </c>
      <c r="F53" t="s">
        <v>299</v>
      </c>
      <c r="G53" t="s">
        <v>250</v>
      </c>
    </row>
    <row r="54" spans="2:7" x14ac:dyDescent="0.25">
      <c r="B54" t="s">
        <v>300</v>
      </c>
      <c r="C54" t="s">
        <v>252</v>
      </c>
      <c r="F54" t="s">
        <v>300</v>
      </c>
      <c r="G54" t="s">
        <v>43</v>
      </c>
    </row>
    <row r="55" spans="2:7" x14ac:dyDescent="0.25">
      <c r="B55" t="s">
        <v>301</v>
      </c>
      <c r="C55" t="s">
        <v>252</v>
      </c>
      <c r="F55" t="s">
        <v>301</v>
      </c>
      <c r="G55" t="s">
        <v>43</v>
      </c>
    </row>
    <row r="56" spans="2:7" x14ac:dyDescent="0.25">
      <c r="B56">
        <f>(ROWS(B2:B55))</f>
        <v>54</v>
      </c>
      <c r="F56">
        <f>ROWS(F2:F55)</f>
        <v>54</v>
      </c>
    </row>
  </sheetData>
  <sortState xmlns:xlrd2="http://schemas.microsoft.com/office/spreadsheetml/2017/richdata2" ref="J2:K13">
    <sortCondition descending="1" ref="K2:K1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E6297-79E1-44C5-9FCA-F664E4A42742}">
  <dimension ref="A1:AO288"/>
  <sheetViews>
    <sheetView showGridLines="0" zoomScale="60" zoomScaleNormal="60" workbookViewId="0">
      <pane xSplit="2" ySplit="5" topLeftCell="C6" activePane="bottomRight" state="frozen"/>
      <selection pane="topRight" activeCell="C1" sqref="C1"/>
      <selection pane="bottomLeft" activeCell="A5" sqref="A5"/>
      <selection pane="bottomRight" activeCell="Y5" sqref="Y5"/>
    </sheetView>
  </sheetViews>
  <sheetFormatPr defaultColWidth="8.7109375" defaultRowHeight="15" x14ac:dyDescent="0.25"/>
  <cols>
    <col min="1" max="1" width="27.85546875" style="2" bestFit="1" customWidth="1"/>
    <col min="2" max="2" width="34" style="2" customWidth="1"/>
    <col min="3" max="3" width="16" style="2" bestFit="1" customWidth="1"/>
    <col min="4" max="4" width="25.5703125" style="2" bestFit="1" customWidth="1"/>
    <col min="5" max="5" width="14.28515625" style="2" bestFit="1" customWidth="1"/>
    <col min="6" max="6" width="14.28515625" style="2" customWidth="1"/>
    <col min="7" max="7" width="16.5703125" style="4" customWidth="1"/>
    <col min="8" max="8" width="15.42578125" style="2" customWidth="1"/>
    <col min="9" max="9" width="18.42578125" style="2" customWidth="1"/>
    <col min="10" max="10" width="15.42578125" style="2" customWidth="1"/>
    <col min="11" max="11" width="18.42578125" style="85" customWidth="1"/>
    <col min="12" max="12" width="0.85546875" style="32" customWidth="1"/>
    <col min="13" max="13" width="18" style="2" customWidth="1"/>
    <col min="14" max="15" width="24.5703125" style="2" customWidth="1"/>
    <col min="16" max="16" width="35.28515625" style="2" customWidth="1"/>
    <col min="17" max="17" width="21.7109375" style="2" customWidth="1"/>
    <col min="18" max="18" width="20.7109375" style="2" customWidth="1"/>
    <col min="19" max="19" width="29" style="2" customWidth="1"/>
    <col min="20" max="21" width="16.28515625" style="2" customWidth="1"/>
    <col min="22" max="25" width="20.7109375" style="2" customWidth="1"/>
    <col min="26" max="26" width="27.42578125" style="2" customWidth="1"/>
    <col min="27" max="27" width="0.85546875" style="34" customWidth="1"/>
    <col min="28" max="28" width="46.5703125" style="2" customWidth="1"/>
    <col min="29" max="29" width="75.7109375" style="2" customWidth="1"/>
    <col min="30" max="31" width="38" style="2" customWidth="1"/>
    <col min="32" max="32" width="28.42578125" style="2" customWidth="1"/>
    <col min="33" max="33" width="49.140625" style="2" customWidth="1"/>
    <col min="34" max="34" width="24.42578125" style="2" customWidth="1"/>
    <col min="35" max="35" width="18" style="2" customWidth="1"/>
    <col min="36" max="36" width="0.85546875" style="34" customWidth="1"/>
    <col min="37" max="37" width="34.5703125" style="2" customWidth="1"/>
    <col min="38" max="38" width="35.140625" style="2" customWidth="1"/>
    <col min="39" max="39" width="0.85546875" style="34" customWidth="1"/>
    <col min="40" max="40" width="20.42578125" style="2" bestFit="1" customWidth="1"/>
    <col min="41" max="41" width="0.85546875" style="35" customWidth="1"/>
    <col min="42" max="16384" width="8.7109375" style="11"/>
  </cols>
  <sheetData>
    <row r="1" spans="1:41" s="1" customFormat="1" ht="24.95" customHeight="1" x14ac:dyDescent="0.2">
      <c r="A1" s="138" t="s">
        <v>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40"/>
    </row>
    <row r="2" spans="1:41" s="1" customFormat="1" ht="24.95" customHeight="1" x14ac:dyDescent="0.3">
      <c r="A2" s="49" t="s">
        <v>194</v>
      </c>
      <c r="B2" s="49">
        <f>COUNTIF(A6:A1999,"*")</f>
        <v>243</v>
      </c>
      <c r="D2" s="29"/>
      <c r="E2" s="29"/>
      <c r="F2" s="29"/>
      <c r="G2" s="29"/>
      <c r="H2" s="29"/>
      <c r="I2" s="29"/>
      <c r="J2" s="29"/>
      <c r="K2" s="90"/>
      <c r="L2" s="29"/>
      <c r="M2" s="29"/>
      <c r="N2" s="29"/>
      <c r="O2" s="109"/>
      <c r="P2" s="29"/>
      <c r="Q2" s="29"/>
      <c r="R2" s="29"/>
      <c r="S2" s="29"/>
      <c r="T2" s="29"/>
      <c r="U2" s="29"/>
      <c r="V2" s="29"/>
      <c r="W2" s="29"/>
      <c r="X2" s="29"/>
      <c r="Y2" s="29"/>
      <c r="Z2" s="29"/>
      <c r="AA2" s="29"/>
      <c r="AB2" s="29"/>
      <c r="AC2" s="29"/>
      <c r="AD2" s="29"/>
      <c r="AE2" s="29"/>
      <c r="AF2" s="29"/>
      <c r="AG2" s="29"/>
      <c r="AH2" s="29"/>
      <c r="AI2" s="29"/>
      <c r="AJ2" s="29"/>
      <c r="AK2" s="29"/>
      <c r="AL2" s="29"/>
      <c r="AM2" s="29"/>
      <c r="AN2" s="29"/>
    </row>
    <row r="3" spans="1:41" s="1" customFormat="1" ht="24.95" customHeight="1" thickBot="1" x14ac:dyDescent="0.25">
      <c r="A3" s="44"/>
      <c r="B3" s="44"/>
      <c r="C3" s="44"/>
      <c r="D3" s="44"/>
      <c r="E3" s="44"/>
      <c r="F3" s="44"/>
      <c r="G3" s="44"/>
      <c r="H3" s="44"/>
      <c r="I3" s="44"/>
      <c r="J3" s="44"/>
      <c r="K3" s="90"/>
      <c r="L3" s="44"/>
      <c r="M3" s="44"/>
      <c r="N3" s="44"/>
      <c r="O3" s="44"/>
      <c r="P3" s="44"/>
      <c r="Q3" s="44"/>
      <c r="R3" s="44"/>
      <c r="S3" s="44"/>
      <c r="T3" s="44"/>
      <c r="U3" s="44"/>
      <c r="V3" s="44"/>
      <c r="W3" s="44"/>
      <c r="X3" s="44"/>
      <c r="Y3" s="44"/>
      <c r="Z3" s="44"/>
      <c r="AA3" s="44"/>
      <c r="AC3" s="45"/>
      <c r="AD3" s="45"/>
      <c r="AE3" s="45"/>
      <c r="AF3" s="45"/>
      <c r="AG3" s="45"/>
      <c r="AH3" s="45"/>
      <c r="AI3" s="45"/>
      <c r="AJ3" s="44"/>
      <c r="AK3" s="44"/>
      <c r="AL3" s="44"/>
      <c r="AM3" s="44"/>
      <c r="AN3" s="29"/>
    </row>
    <row r="4" spans="1:41" s="1" customFormat="1" ht="21" customHeight="1" thickTop="1" thickBot="1" x14ac:dyDescent="0.25">
      <c r="A4" s="143" t="s">
        <v>302</v>
      </c>
      <c r="B4" s="144"/>
      <c r="C4" s="144"/>
      <c r="D4" s="144"/>
      <c r="E4" s="144"/>
      <c r="F4" s="144"/>
      <c r="G4" s="144"/>
      <c r="H4" s="144"/>
      <c r="I4" s="144"/>
      <c r="J4" s="144"/>
      <c r="K4" s="145"/>
      <c r="L4" s="33"/>
      <c r="M4" s="146" t="s">
        <v>303</v>
      </c>
      <c r="N4" s="147"/>
      <c r="O4" s="147"/>
      <c r="P4" s="147"/>
      <c r="Q4" s="147"/>
      <c r="R4" s="147"/>
      <c r="S4" s="147"/>
      <c r="T4" s="147"/>
      <c r="U4" s="147"/>
      <c r="V4" s="147"/>
      <c r="W4" s="147"/>
      <c r="X4" s="147"/>
      <c r="Y4" s="147"/>
      <c r="Z4" s="148"/>
      <c r="AA4" s="30"/>
      <c r="AB4" s="149" t="s">
        <v>304</v>
      </c>
      <c r="AC4" s="149"/>
      <c r="AD4" s="149"/>
      <c r="AE4" s="149"/>
      <c r="AF4" s="149"/>
      <c r="AG4" s="149"/>
      <c r="AH4" s="149"/>
      <c r="AI4" s="149"/>
      <c r="AJ4" s="31"/>
      <c r="AK4" s="150" t="s">
        <v>305</v>
      </c>
      <c r="AL4" s="150"/>
      <c r="AM4" s="48"/>
      <c r="AN4" s="141" t="s">
        <v>306</v>
      </c>
    </row>
    <row r="5" spans="1:41" s="43" customFormat="1" ht="75" customHeight="1" thickTop="1" x14ac:dyDescent="0.25">
      <c r="A5" s="36" t="s">
        <v>195</v>
      </c>
      <c r="B5" s="36" t="s">
        <v>307</v>
      </c>
      <c r="C5" s="36" t="s">
        <v>22</v>
      </c>
      <c r="D5" s="36" t="s">
        <v>308</v>
      </c>
      <c r="E5" s="36" t="s">
        <v>309</v>
      </c>
      <c r="F5" s="36" t="s">
        <v>310</v>
      </c>
      <c r="G5" s="36" t="s">
        <v>311</v>
      </c>
      <c r="H5" s="36" t="s">
        <v>312</v>
      </c>
      <c r="I5" s="36" t="s">
        <v>313</v>
      </c>
      <c r="J5" s="36" t="s">
        <v>314</v>
      </c>
      <c r="K5" s="91" t="s">
        <v>315</v>
      </c>
      <c r="L5" s="37"/>
      <c r="M5" s="38" t="s">
        <v>147</v>
      </c>
      <c r="N5" s="39" t="s">
        <v>67</v>
      </c>
      <c r="O5" s="39" t="s">
        <v>316</v>
      </c>
      <c r="P5" s="39" t="s">
        <v>69</v>
      </c>
      <c r="Q5" s="39" t="s">
        <v>70</v>
      </c>
      <c r="R5" s="39" t="s">
        <v>317</v>
      </c>
      <c r="S5" s="39" t="s">
        <v>2279</v>
      </c>
      <c r="T5" s="39" t="s">
        <v>143</v>
      </c>
      <c r="U5" s="39" t="s">
        <v>72</v>
      </c>
      <c r="V5" s="39" t="s">
        <v>318</v>
      </c>
      <c r="W5" s="117" t="s">
        <v>2240</v>
      </c>
      <c r="X5" s="118" t="s">
        <v>2241</v>
      </c>
      <c r="Y5" s="39" t="s">
        <v>319</v>
      </c>
      <c r="Z5" s="39" t="s">
        <v>320</v>
      </c>
      <c r="AA5" s="40"/>
      <c r="AB5" s="36" t="s">
        <v>321</v>
      </c>
      <c r="AC5" s="36" t="s">
        <v>322</v>
      </c>
      <c r="AD5" s="36" t="s">
        <v>323</v>
      </c>
      <c r="AE5" s="36" t="s">
        <v>2278</v>
      </c>
      <c r="AF5" s="36" t="s">
        <v>324</v>
      </c>
      <c r="AG5" s="36" t="s">
        <v>325</v>
      </c>
      <c r="AH5" s="36" t="s">
        <v>326</v>
      </c>
      <c r="AI5" s="36" t="s">
        <v>327</v>
      </c>
      <c r="AJ5" s="41"/>
      <c r="AK5" s="46" t="s">
        <v>328</v>
      </c>
      <c r="AL5" s="46" t="s">
        <v>329</v>
      </c>
      <c r="AM5" s="47"/>
      <c r="AN5" s="142"/>
      <c r="AO5" s="42"/>
    </row>
    <row r="6" spans="1:41" s="85" customFormat="1" x14ac:dyDescent="0.25">
      <c r="A6" s="88" t="s">
        <v>198</v>
      </c>
      <c r="B6" s="88" t="s">
        <v>330</v>
      </c>
      <c r="C6" s="88" t="s">
        <v>42</v>
      </c>
      <c r="D6" s="88" t="s">
        <v>43</v>
      </c>
      <c r="E6" s="88" t="s">
        <v>331</v>
      </c>
      <c r="F6" s="88" t="s">
        <v>332</v>
      </c>
      <c r="G6" s="88">
        <v>2004</v>
      </c>
      <c r="H6" s="88" t="s">
        <v>333</v>
      </c>
      <c r="I6" s="88" t="s">
        <v>334</v>
      </c>
      <c r="J6" s="88" t="s">
        <v>335</v>
      </c>
      <c r="K6" s="92" t="s">
        <v>334</v>
      </c>
      <c r="L6" s="93"/>
      <c r="M6" s="94" t="s">
        <v>2272</v>
      </c>
      <c r="N6" s="88" t="s">
        <v>73</v>
      </c>
      <c r="O6" s="88" t="s">
        <v>336</v>
      </c>
      <c r="P6" s="88" t="s">
        <v>134</v>
      </c>
      <c r="Q6" s="88" t="s">
        <v>337</v>
      </c>
      <c r="R6" s="88" t="s">
        <v>138</v>
      </c>
      <c r="S6" s="88" t="s">
        <v>331</v>
      </c>
      <c r="T6" s="88" t="s">
        <v>331</v>
      </c>
      <c r="U6" s="88" t="s">
        <v>130</v>
      </c>
      <c r="V6" s="88" t="s">
        <v>331</v>
      </c>
      <c r="W6" s="88" t="s">
        <v>351</v>
      </c>
      <c r="X6" s="88" t="s">
        <v>338</v>
      </c>
      <c r="Y6" s="88" t="s">
        <v>339</v>
      </c>
      <c r="Z6" s="88" t="s">
        <v>339</v>
      </c>
      <c r="AA6" s="95"/>
      <c r="AB6" s="88" t="s">
        <v>340</v>
      </c>
      <c r="AC6" s="88" t="s">
        <v>341</v>
      </c>
      <c r="AD6" s="88" t="s">
        <v>342</v>
      </c>
      <c r="AE6" s="88" t="s">
        <v>343</v>
      </c>
      <c r="AF6" s="88" t="s">
        <v>130</v>
      </c>
      <c r="AG6" s="88" t="s">
        <v>344</v>
      </c>
      <c r="AH6" s="88" t="s">
        <v>345</v>
      </c>
      <c r="AI6" s="88" t="s">
        <v>346</v>
      </c>
      <c r="AJ6" s="95"/>
      <c r="AK6" s="88" t="s">
        <v>347</v>
      </c>
      <c r="AL6" s="88" t="s">
        <v>348</v>
      </c>
      <c r="AM6" s="95"/>
      <c r="AN6" s="96" t="s">
        <v>349</v>
      </c>
      <c r="AO6" s="84"/>
    </row>
    <row r="7" spans="1:41" s="85" customFormat="1" x14ac:dyDescent="0.25">
      <c r="A7" s="88" t="s">
        <v>245</v>
      </c>
      <c r="B7" s="88" t="s">
        <v>350</v>
      </c>
      <c r="C7" s="88" t="s">
        <v>24</v>
      </c>
      <c r="D7" s="88" t="s">
        <v>43</v>
      </c>
      <c r="E7" s="88" t="s">
        <v>351</v>
      </c>
      <c r="F7" s="88" t="s">
        <v>352</v>
      </c>
      <c r="G7" s="88">
        <v>2015</v>
      </c>
      <c r="H7" s="88" t="s">
        <v>333</v>
      </c>
      <c r="I7" s="88" t="s">
        <v>353</v>
      </c>
      <c r="J7" s="88" t="s">
        <v>335</v>
      </c>
      <c r="K7" s="92" t="s">
        <v>354</v>
      </c>
      <c r="L7" s="93"/>
      <c r="M7" s="94" t="s">
        <v>2248</v>
      </c>
      <c r="N7" s="88" t="s">
        <v>355</v>
      </c>
      <c r="O7" s="88" t="s">
        <v>98</v>
      </c>
      <c r="P7" s="88" t="s">
        <v>134</v>
      </c>
      <c r="Q7" s="88" t="s">
        <v>76</v>
      </c>
      <c r="R7" s="88" t="s">
        <v>138</v>
      </c>
      <c r="S7" s="88" t="s">
        <v>2249</v>
      </c>
      <c r="T7" s="88" t="s">
        <v>331</v>
      </c>
      <c r="U7" s="88" t="s">
        <v>130</v>
      </c>
      <c r="V7" s="88" t="s">
        <v>331</v>
      </c>
      <c r="W7" s="88" t="s">
        <v>356</v>
      </c>
      <c r="X7" s="88" t="s">
        <v>130</v>
      </c>
      <c r="Y7" s="88" t="s">
        <v>331</v>
      </c>
      <c r="Z7" s="88" t="s">
        <v>130</v>
      </c>
      <c r="AA7" s="95"/>
      <c r="AB7" s="88" t="s">
        <v>357</v>
      </c>
      <c r="AC7" s="88" t="s">
        <v>358</v>
      </c>
      <c r="AD7" s="88" t="s">
        <v>342</v>
      </c>
      <c r="AE7" s="88" t="s">
        <v>359</v>
      </c>
      <c r="AF7" s="88" t="s">
        <v>360</v>
      </c>
      <c r="AG7" s="88" t="s">
        <v>361</v>
      </c>
      <c r="AH7" s="88" t="s">
        <v>362</v>
      </c>
      <c r="AI7" s="88" t="s">
        <v>346</v>
      </c>
      <c r="AJ7" s="95"/>
      <c r="AK7" s="88" t="s">
        <v>339</v>
      </c>
      <c r="AL7" s="88" t="s">
        <v>339</v>
      </c>
      <c r="AM7" s="95"/>
      <c r="AN7" s="96" t="s">
        <v>363</v>
      </c>
      <c r="AO7" s="84"/>
    </row>
    <row r="8" spans="1:41" s="85" customFormat="1" x14ac:dyDescent="0.25">
      <c r="A8" s="88" t="s">
        <v>245</v>
      </c>
      <c r="B8" s="88" t="s">
        <v>364</v>
      </c>
      <c r="C8" s="88" t="s">
        <v>24</v>
      </c>
      <c r="D8" s="88" t="s">
        <v>43</v>
      </c>
      <c r="E8" s="88" t="s">
        <v>351</v>
      </c>
      <c r="F8" s="88" t="s">
        <v>352</v>
      </c>
      <c r="G8" s="88">
        <v>2015</v>
      </c>
      <c r="H8" s="88" t="s">
        <v>333</v>
      </c>
      <c r="I8" s="88" t="s">
        <v>353</v>
      </c>
      <c r="J8" s="88" t="s">
        <v>335</v>
      </c>
      <c r="K8" s="92" t="s">
        <v>364</v>
      </c>
      <c r="L8" s="93"/>
      <c r="M8" s="94" t="s">
        <v>2248</v>
      </c>
      <c r="N8" s="88" t="s">
        <v>91</v>
      </c>
      <c r="O8" s="88" t="s">
        <v>336</v>
      </c>
      <c r="P8" s="88" t="s">
        <v>123</v>
      </c>
      <c r="Q8" s="88" t="s">
        <v>365</v>
      </c>
      <c r="R8" s="88" t="s">
        <v>138</v>
      </c>
      <c r="S8" s="88" t="s">
        <v>2250</v>
      </c>
      <c r="T8" s="88" t="s">
        <v>331</v>
      </c>
      <c r="U8" s="88" t="s">
        <v>130</v>
      </c>
      <c r="V8" s="88" t="s">
        <v>331</v>
      </c>
      <c r="W8" s="88" t="s">
        <v>356</v>
      </c>
      <c r="X8" s="88" t="s">
        <v>130</v>
      </c>
      <c r="Y8" s="88" t="s">
        <v>331</v>
      </c>
      <c r="Z8" s="88" t="s">
        <v>130</v>
      </c>
      <c r="AA8" s="95"/>
      <c r="AB8" s="88" t="s">
        <v>366</v>
      </c>
      <c r="AC8" s="97" t="s">
        <v>367</v>
      </c>
      <c r="AD8" s="88" t="s">
        <v>342</v>
      </c>
      <c r="AE8" s="88" t="s">
        <v>359</v>
      </c>
      <c r="AF8" s="88" t="s">
        <v>130</v>
      </c>
      <c r="AG8" s="88" t="s">
        <v>361</v>
      </c>
      <c r="AH8" s="88" t="s">
        <v>368</v>
      </c>
      <c r="AI8" s="88" t="s">
        <v>346</v>
      </c>
      <c r="AJ8" s="95"/>
      <c r="AK8" s="88" t="s">
        <v>339</v>
      </c>
      <c r="AL8" s="88" t="s">
        <v>339</v>
      </c>
      <c r="AM8" s="95"/>
      <c r="AN8" s="96" t="s">
        <v>369</v>
      </c>
      <c r="AO8" s="84"/>
    </row>
    <row r="9" spans="1:41" s="85" customFormat="1" x14ac:dyDescent="0.25">
      <c r="A9" s="88" t="s">
        <v>245</v>
      </c>
      <c r="B9" s="88" t="s">
        <v>370</v>
      </c>
      <c r="C9" s="88" t="s">
        <v>24</v>
      </c>
      <c r="D9" s="88" t="s">
        <v>43</v>
      </c>
      <c r="E9" s="88" t="s">
        <v>351</v>
      </c>
      <c r="F9" s="88" t="s">
        <v>371</v>
      </c>
      <c r="G9" s="88">
        <v>2020</v>
      </c>
      <c r="H9" s="88">
        <v>2020</v>
      </c>
      <c r="I9" s="88" t="s">
        <v>372</v>
      </c>
      <c r="J9" s="88" t="s">
        <v>335</v>
      </c>
      <c r="K9" s="92" t="s">
        <v>372</v>
      </c>
      <c r="L9" s="93"/>
      <c r="M9" s="94" t="s">
        <v>2272</v>
      </c>
      <c r="N9" s="88" t="s">
        <v>121</v>
      </c>
      <c r="O9" s="88" t="s">
        <v>116</v>
      </c>
      <c r="P9" s="88" t="s">
        <v>134</v>
      </c>
      <c r="Q9" s="88" t="s">
        <v>139</v>
      </c>
      <c r="R9" s="88" t="s">
        <v>138</v>
      </c>
      <c r="S9" s="88" t="s">
        <v>331</v>
      </c>
      <c r="T9" s="88" t="s">
        <v>351</v>
      </c>
      <c r="U9" s="88" t="s">
        <v>90</v>
      </c>
      <c r="V9" s="88" t="s">
        <v>331</v>
      </c>
      <c r="W9" s="88" t="s">
        <v>356</v>
      </c>
      <c r="X9" s="88" t="s">
        <v>130</v>
      </c>
      <c r="Y9" s="88" t="s">
        <v>331</v>
      </c>
      <c r="Z9" s="88" t="s">
        <v>130</v>
      </c>
      <c r="AA9" s="95"/>
      <c r="AB9" s="88" t="s">
        <v>373</v>
      </c>
      <c r="AC9" s="88" t="s">
        <v>374</v>
      </c>
      <c r="AD9" s="88" t="s">
        <v>342</v>
      </c>
      <c r="AE9" s="88" t="s">
        <v>359</v>
      </c>
      <c r="AF9" s="88" t="s">
        <v>130</v>
      </c>
      <c r="AG9" s="88" t="s">
        <v>361</v>
      </c>
      <c r="AH9" s="88" t="s">
        <v>375</v>
      </c>
      <c r="AI9" s="88" t="s">
        <v>346</v>
      </c>
      <c r="AJ9" s="95"/>
      <c r="AK9" s="88" t="s">
        <v>339</v>
      </c>
      <c r="AL9" s="88" t="s">
        <v>339</v>
      </c>
      <c r="AM9" s="95"/>
      <c r="AN9" s="96" t="s">
        <v>376</v>
      </c>
      <c r="AO9" s="84"/>
    </row>
    <row r="10" spans="1:41" s="85" customFormat="1" x14ac:dyDescent="0.25">
      <c r="A10" s="88" t="s">
        <v>245</v>
      </c>
      <c r="B10" s="88" t="s">
        <v>377</v>
      </c>
      <c r="C10" s="88" t="s">
        <v>24</v>
      </c>
      <c r="D10" s="88" t="s">
        <v>43</v>
      </c>
      <c r="E10" s="88" t="s">
        <v>351</v>
      </c>
      <c r="F10" s="88" t="s">
        <v>371</v>
      </c>
      <c r="G10" s="88">
        <v>2018</v>
      </c>
      <c r="H10" s="88">
        <v>2022</v>
      </c>
      <c r="I10" s="88" t="s">
        <v>378</v>
      </c>
      <c r="J10" s="88" t="s">
        <v>335</v>
      </c>
      <c r="K10" s="92" t="s">
        <v>379</v>
      </c>
      <c r="L10" s="93"/>
      <c r="M10" s="94" t="s">
        <v>2270</v>
      </c>
      <c r="N10" s="88" t="s">
        <v>355</v>
      </c>
      <c r="O10" s="88" t="s">
        <v>98</v>
      </c>
      <c r="P10" s="88" t="s">
        <v>81</v>
      </c>
      <c r="Q10" s="88" t="s">
        <v>76</v>
      </c>
      <c r="R10" s="88" t="s">
        <v>138</v>
      </c>
      <c r="S10" s="88" t="s">
        <v>331</v>
      </c>
      <c r="T10" s="88" t="s">
        <v>331</v>
      </c>
      <c r="U10" s="88" t="s">
        <v>130</v>
      </c>
      <c r="V10" s="88" t="s">
        <v>351</v>
      </c>
      <c r="W10" s="88" t="s">
        <v>356</v>
      </c>
      <c r="X10" s="88" t="s">
        <v>130</v>
      </c>
      <c r="Y10" s="88" t="s">
        <v>351</v>
      </c>
      <c r="Z10" s="88" t="s">
        <v>380</v>
      </c>
      <c r="AA10" s="95"/>
      <c r="AB10" s="88" t="s">
        <v>381</v>
      </c>
      <c r="AC10" s="88" t="s">
        <v>382</v>
      </c>
      <c r="AD10" s="88" t="s">
        <v>383</v>
      </c>
      <c r="AE10" s="88" t="s">
        <v>359</v>
      </c>
      <c r="AF10" s="88" t="s">
        <v>130</v>
      </c>
      <c r="AG10" s="88" t="s">
        <v>361</v>
      </c>
      <c r="AH10" s="88"/>
      <c r="AI10" s="88" t="s">
        <v>384</v>
      </c>
      <c r="AJ10" s="95"/>
      <c r="AK10" s="88" t="s">
        <v>339</v>
      </c>
      <c r="AL10" s="88" t="s">
        <v>339</v>
      </c>
      <c r="AM10" s="95"/>
      <c r="AN10" s="96" t="s">
        <v>385</v>
      </c>
      <c r="AO10" s="84"/>
    </row>
    <row r="11" spans="1:41" s="85" customFormat="1" x14ac:dyDescent="0.25">
      <c r="A11" s="88" t="s">
        <v>245</v>
      </c>
      <c r="B11" s="88" t="s">
        <v>386</v>
      </c>
      <c r="C11" s="88" t="s">
        <v>24</v>
      </c>
      <c r="D11" s="88" t="s">
        <v>43</v>
      </c>
      <c r="E11" s="88" t="s">
        <v>351</v>
      </c>
      <c r="F11" s="88" t="s">
        <v>387</v>
      </c>
      <c r="G11" s="88">
        <v>2004</v>
      </c>
      <c r="H11" s="88">
        <v>2013</v>
      </c>
      <c r="I11" s="88" t="s">
        <v>388</v>
      </c>
      <c r="J11" s="88" t="s">
        <v>351</v>
      </c>
      <c r="K11" s="92" t="s">
        <v>389</v>
      </c>
      <c r="L11" s="93"/>
      <c r="M11" s="119" t="s">
        <v>2272</v>
      </c>
      <c r="N11" s="88" t="s">
        <v>121</v>
      </c>
      <c r="O11" s="88" t="s">
        <v>390</v>
      </c>
      <c r="P11" s="88" t="s">
        <v>87</v>
      </c>
      <c r="Q11" s="88" t="s">
        <v>139</v>
      </c>
      <c r="R11" s="88" t="s">
        <v>83</v>
      </c>
      <c r="S11" s="88" t="s">
        <v>331</v>
      </c>
      <c r="T11" s="88" t="s">
        <v>331</v>
      </c>
      <c r="U11" s="88" t="s">
        <v>130</v>
      </c>
      <c r="V11" s="88" t="s">
        <v>351</v>
      </c>
      <c r="W11" s="88" t="s">
        <v>356</v>
      </c>
      <c r="X11" s="88" t="s">
        <v>130</v>
      </c>
      <c r="Y11" s="88" t="s">
        <v>351</v>
      </c>
      <c r="Z11" s="88" t="s">
        <v>380</v>
      </c>
      <c r="AA11" s="95"/>
      <c r="AB11" s="88" t="s">
        <v>391</v>
      </c>
      <c r="AC11" s="88" t="s">
        <v>392</v>
      </c>
      <c r="AD11" s="88" t="s">
        <v>393</v>
      </c>
      <c r="AE11" s="88" t="s">
        <v>394</v>
      </c>
      <c r="AF11" s="88" t="s">
        <v>395</v>
      </c>
      <c r="AG11" s="88" t="s">
        <v>361</v>
      </c>
      <c r="AH11" s="88" t="s">
        <v>375</v>
      </c>
      <c r="AI11" s="88" t="s">
        <v>346</v>
      </c>
      <c r="AJ11" s="95"/>
      <c r="AK11" s="88" t="s">
        <v>339</v>
      </c>
      <c r="AL11" s="88" t="s">
        <v>396</v>
      </c>
      <c r="AM11" s="95"/>
      <c r="AN11" s="96" t="s">
        <v>397</v>
      </c>
      <c r="AO11" s="84"/>
    </row>
    <row r="12" spans="1:41" s="85" customFormat="1" x14ac:dyDescent="0.25">
      <c r="A12" s="88" t="s">
        <v>245</v>
      </c>
      <c r="B12" s="88" t="s">
        <v>398</v>
      </c>
      <c r="C12" s="88" t="s">
        <v>24</v>
      </c>
      <c r="D12" s="88" t="s">
        <v>43</v>
      </c>
      <c r="E12" s="88" t="s">
        <v>351</v>
      </c>
      <c r="F12" s="88" t="s">
        <v>399</v>
      </c>
      <c r="G12" s="88">
        <v>2019</v>
      </c>
      <c r="H12" s="88" t="s">
        <v>333</v>
      </c>
      <c r="I12" s="88" t="s">
        <v>378</v>
      </c>
      <c r="J12" s="88" t="s">
        <v>335</v>
      </c>
      <c r="K12" s="92" t="s">
        <v>400</v>
      </c>
      <c r="L12" s="93"/>
      <c r="M12" s="94" t="s">
        <v>2272</v>
      </c>
      <c r="N12" s="88" t="s">
        <v>73</v>
      </c>
      <c r="O12" s="88" t="s">
        <v>336</v>
      </c>
      <c r="P12" s="88" t="s">
        <v>134</v>
      </c>
      <c r="Q12" s="88" t="s">
        <v>76</v>
      </c>
      <c r="R12" s="88" t="s">
        <v>77</v>
      </c>
      <c r="S12" s="88" t="s">
        <v>2251</v>
      </c>
      <c r="T12" s="88" t="s">
        <v>331</v>
      </c>
      <c r="U12" s="88" t="s">
        <v>130</v>
      </c>
      <c r="V12" s="88" t="s">
        <v>331</v>
      </c>
      <c r="W12" s="88" t="s">
        <v>339</v>
      </c>
      <c r="X12" s="88" t="s">
        <v>130</v>
      </c>
      <c r="Y12" s="88" t="s">
        <v>351</v>
      </c>
      <c r="Z12" s="88" t="s">
        <v>380</v>
      </c>
      <c r="AA12" s="95"/>
      <c r="AB12" s="88" t="s">
        <v>401</v>
      </c>
      <c r="AC12" s="88" t="s">
        <v>402</v>
      </c>
      <c r="AD12" s="88" t="s">
        <v>342</v>
      </c>
      <c r="AE12" s="88" t="s">
        <v>359</v>
      </c>
      <c r="AF12" s="88" t="s">
        <v>130</v>
      </c>
      <c r="AG12" s="88" t="s">
        <v>361</v>
      </c>
      <c r="AH12" s="88" t="s">
        <v>403</v>
      </c>
      <c r="AI12" s="88" t="s">
        <v>346</v>
      </c>
      <c r="AJ12" s="95"/>
      <c r="AK12" s="88" t="s">
        <v>339</v>
      </c>
      <c r="AL12" s="88" t="s">
        <v>339</v>
      </c>
      <c r="AM12" s="95"/>
      <c r="AN12" s="96" t="s">
        <v>404</v>
      </c>
      <c r="AO12" s="84"/>
    </row>
    <row r="13" spans="1:41" s="85" customFormat="1" x14ac:dyDescent="0.25">
      <c r="A13" s="88" t="s">
        <v>246</v>
      </c>
      <c r="B13" s="88" t="s">
        <v>405</v>
      </c>
      <c r="C13" s="88" t="s">
        <v>197</v>
      </c>
      <c r="D13" s="88" t="s">
        <v>43</v>
      </c>
      <c r="E13" s="88" t="s">
        <v>331</v>
      </c>
      <c r="F13" s="88" t="s">
        <v>406</v>
      </c>
      <c r="G13" s="88">
        <v>2010</v>
      </c>
      <c r="H13" s="88">
        <v>2012</v>
      </c>
      <c r="I13" s="88" t="s">
        <v>353</v>
      </c>
      <c r="J13" s="88" t="s">
        <v>351</v>
      </c>
      <c r="K13" s="92" t="s">
        <v>407</v>
      </c>
      <c r="L13" s="93"/>
      <c r="M13" s="119" t="s">
        <v>2272</v>
      </c>
      <c r="N13" s="88" t="s">
        <v>121</v>
      </c>
      <c r="O13" s="88" t="s">
        <v>408</v>
      </c>
      <c r="P13" s="88" t="s">
        <v>134</v>
      </c>
      <c r="Q13" s="88" t="s">
        <v>409</v>
      </c>
      <c r="R13" s="88" t="s">
        <v>410</v>
      </c>
      <c r="S13" s="88" t="s">
        <v>331</v>
      </c>
      <c r="T13" s="88" t="s">
        <v>331</v>
      </c>
      <c r="U13" s="88" t="s">
        <v>130</v>
      </c>
      <c r="V13" s="88" t="s">
        <v>339</v>
      </c>
      <c r="W13" s="88" t="s">
        <v>529</v>
      </c>
      <c r="X13" s="88" t="s">
        <v>130</v>
      </c>
      <c r="Y13" s="88" t="s">
        <v>339</v>
      </c>
      <c r="Z13" s="88" t="s">
        <v>339</v>
      </c>
      <c r="AA13" s="95"/>
      <c r="AB13" s="88" t="s">
        <v>411</v>
      </c>
      <c r="AC13" s="97" t="s">
        <v>412</v>
      </c>
      <c r="AD13" s="88" t="s">
        <v>342</v>
      </c>
      <c r="AE13" s="88" t="s">
        <v>359</v>
      </c>
      <c r="AF13" s="88" t="s">
        <v>130</v>
      </c>
      <c r="AG13" s="88" t="s">
        <v>361</v>
      </c>
      <c r="AH13" s="88" t="s">
        <v>375</v>
      </c>
      <c r="AI13" s="88" t="s">
        <v>346</v>
      </c>
      <c r="AJ13" s="95"/>
      <c r="AK13" s="88" t="s">
        <v>413</v>
      </c>
      <c r="AL13" s="88" t="s">
        <v>339</v>
      </c>
      <c r="AM13" s="95"/>
      <c r="AN13" s="96" t="s">
        <v>414</v>
      </c>
      <c r="AO13" s="84"/>
    </row>
    <row r="14" spans="1:41" s="89" customFormat="1" ht="13.5" customHeight="1" x14ac:dyDescent="0.25">
      <c r="A14" s="88" t="s">
        <v>246</v>
      </c>
      <c r="B14" s="88" t="s">
        <v>2244</v>
      </c>
      <c r="C14" s="88" t="s">
        <v>197</v>
      </c>
      <c r="D14" s="88" t="s">
        <v>43</v>
      </c>
      <c r="E14" s="88" t="s">
        <v>331</v>
      </c>
      <c r="F14" s="88" t="s">
        <v>406</v>
      </c>
      <c r="G14" s="88" t="s">
        <v>416</v>
      </c>
      <c r="H14" s="88" t="s">
        <v>333</v>
      </c>
      <c r="I14" s="88" t="s">
        <v>353</v>
      </c>
      <c r="J14" s="88" t="s">
        <v>335</v>
      </c>
      <c r="K14" s="88" t="s">
        <v>2244</v>
      </c>
      <c r="L14" s="93"/>
      <c r="M14" s="94" t="s">
        <v>2248</v>
      </c>
      <c r="N14" s="88" t="s">
        <v>121</v>
      </c>
      <c r="O14" s="88" t="s">
        <v>98</v>
      </c>
      <c r="P14" s="88" t="s">
        <v>134</v>
      </c>
      <c r="Q14" s="88" t="s">
        <v>139</v>
      </c>
      <c r="R14" s="88" t="s">
        <v>138</v>
      </c>
      <c r="S14" s="88" t="s">
        <v>331</v>
      </c>
      <c r="T14" s="88" t="s">
        <v>331</v>
      </c>
      <c r="U14" s="88" t="s">
        <v>130</v>
      </c>
      <c r="V14" s="88" t="s">
        <v>339</v>
      </c>
      <c r="W14" s="88" t="s">
        <v>529</v>
      </c>
      <c r="X14" s="88" t="s">
        <v>130</v>
      </c>
      <c r="Y14" s="88" t="s">
        <v>339</v>
      </c>
      <c r="Z14" s="88" t="s">
        <v>339</v>
      </c>
      <c r="AA14" s="95"/>
      <c r="AB14" s="116" t="s">
        <v>2245</v>
      </c>
      <c r="AC14" s="123" t="s">
        <v>2246</v>
      </c>
      <c r="AD14" s="88" t="s">
        <v>342</v>
      </c>
      <c r="AE14" s="88" t="s">
        <v>359</v>
      </c>
      <c r="AF14" s="88" t="s">
        <v>130</v>
      </c>
      <c r="AG14" s="88" t="s">
        <v>361</v>
      </c>
      <c r="AH14" s="88" t="s">
        <v>375</v>
      </c>
      <c r="AI14" s="88" t="s">
        <v>346</v>
      </c>
      <c r="AJ14" s="95"/>
      <c r="AK14" s="88" t="s">
        <v>339</v>
      </c>
      <c r="AL14" s="88" t="s">
        <v>339</v>
      </c>
      <c r="AM14" s="95"/>
      <c r="AN14" s="120" t="s">
        <v>2247</v>
      </c>
    </row>
    <row r="15" spans="1:41" s="85" customFormat="1" x14ac:dyDescent="0.25">
      <c r="A15" s="88" t="s">
        <v>246</v>
      </c>
      <c r="B15" s="88" t="s">
        <v>415</v>
      </c>
      <c r="C15" s="88" t="s">
        <v>197</v>
      </c>
      <c r="D15" s="88" t="s">
        <v>43</v>
      </c>
      <c r="E15" s="88" t="s">
        <v>331</v>
      </c>
      <c r="F15" s="88" t="s">
        <v>387</v>
      </c>
      <c r="G15" s="88" t="s">
        <v>416</v>
      </c>
      <c r="H15" s="98">
        <v>43889</v>
      </c>
      <c r="I15" s="88" t="s">
        <v>417</v>
      </c>
      <c r="J15" s="88" t="s">
        <v>351</v>
      </c>
      <c r="K15" s="92" t="s">
        <v>417</v>
      </c>
      <c r="L15" s="93"/>
      <c r="M15" s="119" t="s">
        <v>2272</v>
      </c>
      <c r="N15" s="88" t="s">
        <v>91</v>
      </c>
      <c r="O15" s="88" t="s">
        <v>336</v>
      </c>
      <c r="P15" s="88" t="s">
        <v>123</v>
      </c>
      <c r="Q15" s="88" t="s">
        <v>418</v>
      </c>
      <c r="R15" s="88" t="s">
        <v>138</v>
      </c>
      <c r="S15" s="88" t="s">
        <v>331</v>
      </c>
      <c r="T15" s="88" t="s">
        <v>331</v>
      </c>
      <c r="U15" s="88" t="s">
        <v>130</v>
      </c>
      <c r="V15" s="88" t="s">
        <v>339</v>
      </c>
      <c r="W15" s="88" t="s">
        <v>529</v>
      </c>
      <c r="X15" s="88" t="s">
        <v>130</v>
      </c>
      <c r="Y15" s="88" t="s">
        <v>339</v>
      </c>
      <c r="Z15" s="88" t="s">
        <v>339</v>
      </c>
      <c r="AA15" s="95"/>
      <c r="AB15" s="88" t="s">
        <v>419</v>
      </c>
      <c r="AC15" s="88" t="s">
        <v>420</v>
      </c>
      <c r="AD15" s="88" t="s">
        <v>342</v>
      </c>
      <c r="AE15" s="88" t="s">
        <v>359</v>
      </c>
      <c r="AF15" s="88" t="s">
        <v>130</v>
      </c>
      <c r="AG15" s="88" t="s">
        <v>361</v>
      </c>
      <c r="AH15" s="88" t="s">
        <v>375</v>
      </c>
      <c r="AI15" s="88" t="s">
        <v>346</v>
      </c>
      <c r="AJ15" s="95"/>
      <c r="AK15" s="88" t="s">
        <v>339</v>
      </c>
      <c r="AL15" s="88" t="s">
        <v>339</v>
      </c>
      <c r="AM15" s="95"/>
      <c r="AN15" s="96" t="s">
        <v>421</v>
      </c>
      <c r="AO15" s="84"/>
    </row>
    <row r="16" spans="1:41" s="85" customFormat="1" x14ac:dyDescent="0.25">
      <c r="A16" s="88" t="s">
        <v>247</v>
      </c>
      <c r="B16" s="88" t="s">
        <v>422</v>
      </c>
      <c r="C16" s="88" t="s">
        <v>30</v>
      </c>
      <c r="D16" s="88" t="s">
        <v>248</v>
      </c>
      <c r="E16" s="88" t="s">
        <v>331</v>
      </c>
      <c r="F16" s="88" t="s">
        <v>332</v>
      </c>
      <c r="G16" s="88">
        <v>1998</v>
      </c>
      <c r="H16" s="88" t="s">
        <v>333</v>
      </c>
      <c r="I16" s="88" t="s">
        <v>423</v>
      </c>
      <c r="J16" s="88" t="s">
        <v>351</v>
      </c>
      <c r="K16" s="92" t="s">
        <v>423</v>
      </c>
      <c r="L16" s="93"/>
      <c r="M16" s="94" t="s">
        <v>2252</v>
      </c>
      <c r="N16" s="88" t="s">
        <v>424</v>
      </c>
      <c r="O16" s="88" t="s">
        <v>92</v>
      </c>
      <c r="P16" s="88" t="s">
        <v>134</v>
      </c>
      <c r="Q16" s="88" t="s">
        <v>139</v>
      </c>
      <c r="R16" s="88" t="s">
        <v>77</v>
      </c>
      <c r="S16" s="88" t="s">
        <v>130</v>
      </c>
      <c r="T16" s="88" t="s">
        <v>331</v>
      </c>
      <c r="U16" s="88" t="s">
        <v>130</v>
      </c>
      <c r="V16" s="88" t="s">
        <v>339</v>
      </c>
      <c r="W16" s="88" t="s">
        <v>351</v>
      </c>
      <c r="X16" s="88" t="s">
        <v>425</v>
      </c>
      <c r="Y16" s="88" t="s">
        <v>339</v>
      </c>
      <c r="Z16" s="88" t="s">
        <v>339</v>
      </c>
      <c r="AA16" s="95"/>
      <c r="AB16" s="88" t="s">
        <v>426</v>
      </c>
      <c r="AC16" s="88" t="s">
        <v>427</v>
      </c>
      <c r="AD16" s="88" t="s">
        <v>342</v>
      </c>
      <c r="AE16" s="88" t="s">
        <v>359</v>
      </c>
      <c r="AF16" s="88" t="s">
        <v>428</v>
      </c>
      <c r="AG16" s="88" t="s">
        <v>429</v>
      </c>
      <c r="AH16" s="88" t="s">
        <v>430</v>
      </c>
      <c r="AI16" s="88" t="s">
        <v>346</v>
      </c>
      <c r="AJ16" s="95"/>
      <c r="AK16" s="88" t="s">
        <v>339</v>
      </c>
      <c r="AL16" s="88" t="s">
        <v>339</v>
      </c>
      <c r="AM16" s="95"/>
      <c r="AN16" s="96" t="s">
        <v>431</v>
      </c>
      <c r="AO16" s="84"/>
    </row>
    <row r="17" spans="1:41" s="85" customFormat="1" x14ac:dyDescent="0.25">
      <c r="A17" s="88" t="s">
        <v>247</v>
      </c>
      <c r="B17" s="88" t="s">
        <v>432</v>
      </c>
      <c r="C17" s="88" t="s">
        <v>30</v>
      </c>
      <c r="D17" s="88" t="s">
        <v>248</v>
      </c>
      <c r="E17" s="88" t="s">
        <v>331</v>
      </c>
      <c r="F17" s="88" t="s">
        <v>332</v>
      </c>
      <c r="G17" s="88">
        <v>2007</v>
      </c>
      <c r="H17" s="88" t="s">
        <v>333</v>
      </c>
      <c r="I17" s="88" t="s">
        <v>433</v>
      </c>
      <c r="J17" s="88" t="s">
        <v>335</v>
      </c>
      <c r="K17" s="92" t="s">
        <v>433</v>
      </c>
      <c r="L17" s="93"/>
      <c r="M17" s="94" t="s">
        <v>2272</v>
      </c>
      <c r="N17" s="88" t="s">
        <v>91</v>
      </c>
      <c r="O17" s="88" t="s">
        <v>336</v>
      </c>
      <c r="P17" s="88" t="s">
        <v>123</v>
      </c>
      <c r="Q17" s="88" t="s">
        <v>434</v>
      </c>
      <c r="R17" s="88" t="s">
        <v>138</v>
      </c>
      <c r="S17" s="88" t="s">
        <v>422</v>
      </c>
      <c r="T17" s="88" t="s">
        <v>331</v>
      </c>
      <c r="U17" s="88" t="s">
        <v>130</v>
      </c>
      <c r="V17" s="88" t="s">
        <v>331</v>
      </c>
      <c r="W17" s="88" t="s">
        <v>351</v>
      </c>
      <c r="X17" s="88" t="s">
        <v>425</v>
      </c>
      <c r="Y17" s="88" t="s">
        <v>331</v>
      </c>
      <c r="Z17" s="88" t="s">
        <v>130</v>
      </c>
      <c r="AA17" s="95"/>
      <c r="AB17" s="88" t="s">
        <v>435</v>
      </c>
      <c r="AC17" s="88" t="s">
        <v>436</v>
      </c>
      <c r="AD17" s="88" t="s">
        <v>342</v>
      </c>
      <c r="AE17" s="88" t="s">
        <v>359</v>
      </c>
      <c r="AF17" s="88" t="s">
        <v>130</v>
      </c>
      <c r="AG17" s="88" t="s">
        <v>437</v>
      </c>
      <c r="AH17" s="88" t="s">
        <v>430</v>
      </c>
      <c r="AI17" s="88" t="s">
        <v>346</v>
      </c>
      <c r="AJ17" s="95"/>
      <c r="AK17" s="88" t="s">
        <v>339</v>
      </c>
      <c r="AL17" s="88" t="s">
        <v>339</v>
      </c>
      <c r="AM17" s="95"/>
      <c r="AN17" s="96" t="s">
        <v>438</v>
      </c>
      <c r="AO17" s="84"/>
    </row>
    <row r="18" spans="1:41" s="85" customFormat="1" x14ac:dyDescent="0.25">
      <c r="A18" s="88" t="s">
        <v>247</v>
      </c>
      <c r="B18" s="88" t="s">
        <v>439</v>
      </c>
      <c r="C18" s="88" t="s">
        <v>30</v>
      </c>
      <c r="D18" s="88" t="s">
        <v>248</v>
      </c>
      <c r="E18" s="88" t="s">
        <v>331</v>
      </c>
      <c r="F18" s="88" t="s">
        <v>332</v>
      </c>
      <c r="G18" s="99" t="s">
        <v>440</v>
      </c>
      <c r="H18" s="88" t="s">
        <v>441</v>
      </c>
      <c r="I18" s="88" t="s">
        <v>442</v>
      </c>
      <c r="J18" s="88" t="s">
        <v>335</v>
      </c>
      <c r="K18" s="92" t="s">
        <v>442</v>
      </c>
      <c r="L18" s="93"/>
      <c r="M18" s="94" t="s">
        <v>2272</v>
      </c>
      <c r="N18" s="88" t="s">
        <v>443</v>
      </c>
      <c r="O18" s="88" t="s">
        <v>336</v>
      </c>
      <c r="P18" s="88" t="s">
        <v>117</v>
      </c>
      <c r="Q18" s="88" t="s">
        <v>444</v>
      </c>
      <c r="R18" s="88" t="s">
        <v>138</v>
      </c>
      <c r="S18" s="88" t="s">
        <v>331</v>
      </c>
      <c r="T18" s="88" t="s">
        <v>351</v>
      </c>
      <c r="U18" s="88" t="s">
        <v>445</v>
      </c>
      <c r="V18" s="88" t="s">
        <v>331</v>
      </c>
      <c r="W18" s="88" t="s">
        <v>2237</v>
      </c>
      <c r="X18" s="88" t="s">
        <v>130</v>
      </c>
      <c r="Y18" s="88" t="s">
        <v>331</v>
      </c>
      <c r="Z18" s="88" t="s">
        <v>130</v>
      </c>
      <c r="AA18" s="95"/>
      <c r="AB18" s="88" t="s">
        <v>446</v>
      </c>
      <c r="AC18" s="88" t="s">
        <v>447</v>
      </c>
      <c r="AD18" s="88" t="s">
        <v>342</v>
      </c>
      <c r="AE18" s="88" t="s">
        <v>448</v>
      </c>
      <c r="AF18" s="88" t="s">
        <v>130</v>
      </c>
      <c r="AG18" s="88" t="s">
        <v>361</v>
      </c>
      <c r="AH18" s="88" t="s">
        <v>375</v>
      </c>
      <c r="AI18" s="88" t="s">
        <v>346</v>
      </c>
      <c r="AJ18" s="95"/>
      <c r="AK18" s="88" t="s">
        <v>339</v>
      </c>
      <c r="AL18" s="88" t="s">
        <v>339</v>
      </c>
      <c r="AM18" s="95"/>
      <c r="AN18" s="96" t="s">
        <v>449</v>
      </c>
      <c r="AO18" s="84"/>
    </row>
    <row r="19" spans="1:41" s="85" customFormat="1" x14ac:dyDescent="0.25">
      <c r="A19" s="88" t="s">
        <v>247</v>
      </c>
      <c r="B19" s="88" t="s">
        <v>442</v>
      </c>
      <c r="C19" s="88" t="s">
        <v>30</v>
      </c>
      <c r="D19" s="88" t="s">
        <v>248</v>
      </c>
      <c r="E19" s="88" t="s">
        <v>331</v>
      </c>
      <c r="F19" s="88" t="s">
        <v>332</v>
      </c>
      <c r="G19" s="88">
        <v>2001</v>
      </c>
      <c r="H19" s="88" t="s">
        <v>333</v>
      </c>
      <c r="I19" s="88" t="s">
        <v>450</v>
      </c>
      <c r="J19" s="88" t="s">
        <v>335</v>
      </c>
      <c r="K19" s="92" t="s">
        <v>442</v>
      </c>
      <c r="L19" s="93"/>
      <c r="M19" s="94" t="s">
        <v>2248</v>
      </c>
      <c r="N19" s="88" t="s">
        <v>451</v>
      </c>
      <c r="O19" s="88" t="s">
        <v>98</v>
      </c>
      <c r="P19" s="88" t="s">
        <v>87</v>
      </c>
      <c r="Q19" s="88" t="s">
        <v>452</v>
      </c>
      <c r="R19" s="88" t="s">
        <v>453</v>
      </c>
      <c r="S19" s="88" t="s">
        <v>331</v>
      </c>
      <c r="T19" s="88" t="s">
        <v>331</v>
      </c>
      <c r="U19" s="88" t="s">
        <v>130</v>
      </c>
      <c r="V19" s="88" t="s">
        <v>331</v>
      </c>
      <c r="W19" s="88" t="s">
        <v>2237</v>
      </c>
      <c r="X19" s="88" t="s">
        <v>130</v>
      </c>
      <c r="Y19" s="88" t="s">
        <v>331</v>
      </c>
      <c r="Z19" s="88" t="s">
        <v>130</v>
      </c>
      <c r="AA19" s="95"/>
      <c r="AB19" s="88" t="s">
        <v>454</v>
      </c>
      <c r="AC19" s="88" t="s">
        <v>455</v>
      </c>
      <c r="AD19" s="88" t="s">
        <v>342</v>
      </c>
      <c r="AE19" s="88" t="s">
        <v>359</v>
      </c>
      <c r="AF19" s="88" t="s">
        <v>130</v>
      </c>
      <c r="AG19" s="88" t="s">
        <v>361</v>
      </c>
      <c r="AH19" s="88" t="s">
        <v>375</v>
      </c>
      <c r="AI19" s="88" t="s">
        <v>346</v>
      </c>
      <c r="AJ19" s="95"/>
      <c r="AK19" s="88" t="s">
        <v>339</v>
      </c>
      <c r="AL19" s="88" t="s">
        <v>339</v>
      </c>
      <c r="AM19" s="95"/>
      <c r="AN19" s="96" t="s">
        <v>456</v>
      </c>
      <c r="AO19" s="84"/>
    </row>
    <row r="20" spans="1:41" s="85" customFormat="1" x14ac:dyDescent="0.25">
      <c r="A20" s="88" t="s">
        <v>247</v>
      </c>
      <c r="B20" s="88" t="s">
        <v>457</v>
      </c>
      <c r="C20" s="88" t="s">
        <v>30</v>
      </c>
      <c r="D20" s="88" t="s">
        <v>248</v>
      </c>
      <c r="E20" s="88" t="s">
        <v>331</v>
      </c>
      <c r="F20" s="88" t="s">
        <v>332</v>
      </c>
      <c r="G20" s="99" t="s">
        <v>458</v>
      </c>
      <c r="H20" s="88">
        <v>2022</v>
      </c>
      <c r="I20" s="88" t="s">
        <v>423</v>
      </c>
      <c r="J20" s="88" t="s">
        <v>351</v>
      </c>
      <c r="K20" s="92" t="s">
        <v>459</v>
      </c>
      <c r="L20" s="93"/>
      <c r="M20" s="94" t="s">
        <v>2270</v>
      </c>
      <c r="N20" s="88" t="s">
        <v>460</v>
      </c>
      <c r="O20" s="88" t="s">
        <v>98</v>
      </c>
      <c r="P20" s="88" t="s">
        <v>134</v>
      </c>
      <c r="Q20" s="88" t="s">
        <v>94</v>
      </c>
      <c r="R20" s="88" t="s">
        <v>138</v>
      </c>
      <c r="S20" s="88" t="s">
        <v>331</v>
      </c>
      <c r="T20" s="88" t="s">
        <v>351</v>
      </c>
      <c r="U20" s="88" t="s">
        <v>90</v>
      </c>
      <c r="V20" s="88" t="s">
        <v>351</v>
      </c>
      <c r="W20" s="88" t="s">
        <v>351</v>
      </c>
      <c r="X20" s="88" t="s">
        <v>461</v>
      </c>
      <c r="Y20" s="88" t="s">
        <v>351</v>
      </c>
      <c r="Z20" s="88" t="s">
        <v>380</v>
      </c>
      <c r="AA20" s="95"/>
      <c r="AB20" s="88" t="s">
        <v>462</v>
      </c>
      <c r="AC20" s="88" t="s">
        <v>463</v>
      </c>
      <c r="AD20" s="88" t="s">
        <v>464</v>
      </c>
      <c r="AE20" s="88" t="s">
        <v>448</v>
      </c>
      <c r="AF20" s="88" t="s">
        <v>465</v>
      </c>
      <c r="AG20" s="88" t="s">
        <v>466</v>
      </c>
      <c r="AH20" s="88" t="s">
        <v>375</v>
      </c>
      <c r="AI20" s="88" t="s">
        <v>384</v>
      </c>
      <c r="AJ20" s="95"/>
      <c r="AK20" s="88" t="s">
        <v>339</v>
      </c>
      <c r="AL20" s="88" t="s">
        <v>339</v>
      </c>
      <c r="AM20" s="95"/>
      <c r="AN20" s="96" t="s">
        <v>467</v>
      </c>
      <c r="AO20" s="84"/>
    </row>
    <row r="21" spans="1:41" s="86" customFormat="1" x14ac:dyDescent="0.25">
      <c r="A21" s="88" t="s">
        <v>247</v>
      </c>
      <c r="B21" s="88" t="s">
        <v>468</v>
      </c>
      <c r="C21" s="88" t="s">
        <v>30</v>
      </c>
      <c r="D21" s="88" t="s">
        <v>248</v>
      </c>
      <c r="E21" s="88" t="s">
        <v>331</v>
      </c>
      <c r="F21" s="88" t="s">
        <v>332</v>
      </c>
      <c r="G21" s="88">
        <v>2009</v>
      </c>
      <c r="H21" s="88" t="s">
        <v>333</v>
      </c>
      <c r="I21" s="88" t="s">
        <v>469</v>
      </c>
      <c r="J21" s="88" t="s">
        <v>335</v>
      </c>
      <c r="K21" s="92" t="s">
        <v>470</v>
      </c>
      <c r="L21" s="93"/>
      <c r="M21" s="94" t="s">
        <v>2272</v>
      </c>
      <c r="N21" s="88" t="s">
        <v>91</v>
      </c>
      <c r="O21" s="88" t="s">
        <v>336</v>
      </c>
      <c r="P21" s="88" t="s">
        <v>81</v>
      </c>
      <c r="Q21" s="88" t="s">
        <v>139</v>
      </c>
      <c r="R21" s="88" t="s">
        <v>138</v>
      </c>
      <c r="S21" s="88" t="s">
        <v>331</v>
      </c>
      <c r="T21" s="88" t="s">
        <v>331</v>
      </c>
      <c r="U21" s="88" t="s">
        <v>130</v>
      </c>
      <c r="V21" s="88" t="s">
        <v>331</v>
      </c>
      <c r="W21" s="88" t="s">
        <v>351</v>
      </c>
      <c r="X21" s="88" t="s">
        <v>131</v>
      </c>
      <c r="Y21" s="88" t="s">
        <v>331</v>
      </c>
      <c r="Z21" s="88" t="s">
        <v>380</v>
      </c>
      <c r="AA21" s="95"/>
      <c r="AB21" s="88" t="s">
        <v>471</v>
      </c>
      <c r="AC21" s="88" t="s">
        <v>472</v>
      </c>
      <c r="AD21" s="88" t="s">
        <v>342</v>
      </c>
      <c r="AE21" s="88" t="s">
        <v>359</v>
      </c>
      <c r="AF21" s="88" t="s">
        <v>130</v>
      </c>
      <c r="AG21" s="88" t="s">
        <v>361</v>
      </c>
      <c r="AH21" s="88" t="s">
        <v>375</v>
      </c>
      <c r="AI21" s="88" t="s">
        <v>346</v>
      </c>
      <c r="AJ21" s="95"/>
      <c r="AK21" s="88" t="s">
        <v>339</v>
      </c>
      <c r="AL21" s="88" t="s">
        <v>339</v>
      </c>
      <c r="AM21" s="95"/>
      <c r="AN21" s="96" t="s">
        <v>473</v>
      </c>
      <c r="AO21" s="84"/>
    </row>
    <row r="22" spans="1:41" s="85" customFormat="1" x14ac:dyDescent="0.25">
      <c r="A22" s="88" t="s">
        <v>249</v>
      </c>
      <c r="B22" s="88" t="s">
        <v>474</v>
      </c>
      <c r="C22" s="88" t="s">
        <v>197</v>
      </c>
      <c r="D22" s="88" t="s">
        <v>250</v>
      </c>
      <c r="E22" s="88" t="s">
        <v>351</v>
      </c>
      <c r="F22" s="88" t="s">
        <v>332</v>
      </c>
      <c r="G22" s="88">
        <v>2019</v>
      </c>
      <c r="H22" s="88">
        <v>2025</v>
      </c>
      <c r="I22" s="88" t="s">
        <v>353</v>
      </c>
      <c r="J22" s="88" t="s">
        <v>351</v>
      </c>
      <c r="K22" s="92" t="s">
        <v>475</v>
      </c>
      <c r="L22" s="93"/>
      <c r="M22" s="94" t="s">
        <v>2272</v>
      </c>
      <c r="N22" s="88" t="s">
        <v>476</v>
      </c>
      <c r="O22" s="88" t="s">
        <v>477</v>
      </c>
      <c r="P22" s="88" t="s">
        <v>478</v>
      </c>
      <c r="Q22" s="88" t="s">
        <v>139</v>
      </c>
      <c r="R22" s="88" t="s">
        <v>138</v>
      </c>
      <c r="S22" s="88" t="s">
        <v>331</v>
      </c>
      <c r="T22" s="88" t="s">
        <v>331</v>
      </c>
      <c r="U22" s="88" t="s">
        <v>130</v>
      </c>
      <c r="V22" s="88" t="s">
        <v>351</v>
      </c>
      <c r="W22" s="88" t="s">
        <v>356</v>
      </c>
      <c r="X22" s="88" t="s">
        <v>130</v>
      </c>
      <c r="Y22" s="88" t="s">
        <v>351</v>
      </c>
      <c r="Z22" s="88" t="s">
        <v>331</v>
      </c>
      <c r="AA22" s="95"/>
      <c r="AB22" s="88" t="s">
        <v>479</v>
      </c>
      <c r="AC22" s="88" t="s">
        <v>480</v>
      </c>
      <c r="AD22" s="88" t="s">
        <v>481</v>
      </c>
      <c r="AE22" s="88" t="s">
        <v>448</v>
      </c>
      <c r="AF22" s="88" t="s">
        <v>130</v>
      </c>
      <c r="AG22" s="88" t="s">
        <v>361</v>
      </c>
      <c r="AH22" s="88" t="s">
        <v>375</v>
      </c>
      <c r="AI22" s="88" t="s">
        <v>346</v>
      </c>
      <c r="AJ22" s="95"/>
      <c r="AK22" s="88" t="s">
        <v>339</v>
      </c>
      <c r="AL22" s="88" t="s">
        <v>339</v>
      </c>
      <c r="AM22" s="95"/>
      <c r="AN22" s="96" t="s">
        <v>482</v>
      </c>
      <c r="AO22" s="84"/>
    </row>
    <row r="23" spans="1:41" s="85" customFormat="1" x14ac:dyDescent="0.25">
      <c r="A23" s="88" t="s">
        <v>249</v>
      </c>
      <c r="B23" s="88" t="s">
        <v>483</v>
      </c>
      <c r="C23" s="88" t="s">
        <v>197</v>
      </c>
      <c r="D23" s="88" t="s">
        <v>250</v>
      </c>
      <c r="E23" s="88" t="s">
        <v>351</v>
      </c>
      <c r="F23" s="88" t="s">
        <v>484</v>
      </c>
      <c r="G23" s="100" t="s">
        <v>485</v>
      </c>
      <c r="H23" s="88" t="s">
        <v>333</v>
      </c>
      <c r="I23" s="88" t="s">
        <v>486</v>
      </c>
      <c r="J23" s="88" t="s">
        <v>335</v>
      </c>
      <c r="K23" s="92" t="s">
        <v>487</v>
      </c>
      <c r="L23" s="93"/>
      <c r="M23" s="94" t="s">
        <v>2248</v>
      </c>
      <c r="N23" s="88" t="s">
        <v>488</v>
      </c>
      <c r="O23" s="88" t="s">
        <v>98</v>
      </c>
      <c r="P23" s="88" t="s">
        <v>134</v>
      </c>
      <c r="Q23" s="88" t="s">
        <v>139</v>
      </c>
      <c r="R23" s="88" t="s">
        <v>489</v>
      </c>
      <c r="S23" s="88" t="s">
        <v>331</v>
      </c>
      <c r="T23" s="88" t="s">
        <v>331</v>
      </c>
      <c r="U23" s="88" t="s">
        <v>130</v>
      </c>
      <c r="V23" s="88" t="s">
        <v>339</v>
      </c>
      <c r="W23" s="88" t="s">
        <v>351</v>
      </c>
      <c r="X23" s="88" t="s">
        <v>490</v>
      </c>
      <c r="Y23" s="88" t="s">
        <v>339</v>
      </c>
      <c r="Z23" s="88" t="s">
        <v>339</v>
      </c>
      <c r="AA23" s="95"/>
      <c r="AB23" s="88" t="s">
        <v>491</v>
      </c>
      <c r="AC23" s="88" t="s">
        <v>492</v>
      </c>
      <c r="AD23" s="88" t="s">
        <v>342</v>
      </c>
      <c r="AE23" s="88" t="s">
        <v>359</v>
      </c>
      <c r="AF23" s="88" t="s">
        <v>493</v>
      </c>
      <c r="AG23" s="88" t="s">
        <v>494</v>
      </c>
      <c r="AH23" s="88" t="s">
        <v>495</v>
      </c>
      <c r="AI23" s="88" t="s">
        <v>346</v>
      </c>
      <c r="AJ23" s="95"/>
      <c r="AK23" s="88" t="s">
        <v>339</v>
      </c>
      <c r="AL23" s="88" t="s">
        <v>339</v>
      </c>
      <c r="AM23" s="95"/>
      <c r="AN23" s="96" t="s">
        <v>496</v>
      </c>
      <c r="AO23" s="84"/>
    </row>
    <row r="24" spans="1:41" s="85" customFormat="1" x14ac:dyDescent="0.25">
      <c r="A24" s="88" t="s">
        <v>249</v>
      </c>
      <c r="B24" s="88" t="s">
        <v>497</v>
      </c>
      <c r="C24" s="88" t="s">
        <v>197</v>
      </c>
      <c r="D24" s="88" t="s">
        <v>250</v>
      </c>
      <c r="E24" s="88" t="s">
        <v>351</v>
      </c>
      <c r="F24" s="88" t="s">
        <v>484</v>
      </c>
      <c r="G24" s="88">
        <v>2017</v>
      </c>
      <c r="H24" s="88" t="s">
        <v>333</v>
      </c>
      <c r="I24" s="88" t="s">
        <v>498</v>
      </c>
      <c r="J24" s="88" t="s">
        <v>335</v>
      </c>
      <c r="K24" s="92" t="s">
        <v>499</v>
      </c>
      <c r="L24" s="93"/>
      <c r="M24" s="94" t="s">
        <v>2272</v>
      </c>
      <c r="N24" s="88" t="s">
        <v>488</v>
      </c>
      <c r="O24" s="88" t="s">
        <v>98</v>
      </c>
      <c r="P24" s="88" t="s">
        <v>134</v>
      </c>
      <c r="Q24" s="88" t="s">
        <v>76</v>
      </c>
      <c r="R24" s="88" t="s">
        <v>138</v>
      </c>
      <c r="S24" s="88" t="s">
        <v>483</v>
      </c>
      <c r="T24" s="88" t="s">
        <v>331</v>
      </c>
      <c r="U24" s="88" t="s">
        <v>130</v>
      </c>
      <c r="V24" s="88" t="s">
        <v>351</v>
      </c>
      <c r="W24" s="88" t="s">
        <v>351</v>
      </c>
      <c r="X24" s="88" t="s">
        <v>490</v>
      </c>
      <c r="Y24" s="88" t="s">
        <v>331</v>
      </c>
      <c r="Z24" s="88" t="s">
        <v>339</v>
      </c>
      <c r="AA24" s="95"/>
      <c r="AB24" s="88" t="s">
        <v>500</v>
      </c>
      <c r="AC24" s="88" t="s">
        <v>501</v>
      </c>
      <c r="AD24" s="88" t="s">
        <v>502</v>
      </c>
      <c r="AE24" s="88" t="s">
        <v>359</v>
      </c>
      <c r="AF24" s="88" t="s">
        <v>130</v>
      </c>
      <c r="AG24" s="88" t="s">
        <v>503</v>
      </c>
      <c r="AH24" s="88" t="s">
        <v>495</v>
      </c>
      <c r="AI24" s="88" t="s">
        <v>346</v>
      </c>
      <c r="AJ24" s="95"/>
      <c r="AK24" s="88" t="s">
        <v>339</v>
      </c>
      <c r="AL24" s="88" t="s">
        <v>339</v>
      </c>
      <c r="AM24" s="95"/>
      <c r="AN24" s="96" t="s">
        <v>504</v>
      </c>
      <c r="AO24" s="84"/>
    </row>
    <row r="25" spans="1:41" s="85" customFormat="1" x14ac:dyDescent="0.25">
      <c r="A25" s="88" t="s">
        <v>249</v>
      </c>
      <c r="B25" s="88" t="s">
        <v>505</v>
      </c>
      <c r="C25" s="88" t="s">
        <v>197</v>
      </c>
      <c r="D25" s="88" t="s">
        <v>250</v>
      </c>
      <c r="E25" s="88" t="s">
        <v>351</v>
      </c>
      <c r="F25" s="88" t="s">
        <v>484</v>
      </c>
      <c r="G25" s="98" t="s">
        <v>416</v>
      </c>
      <c r="H25" s="88" t="s">
        <v>333</v>
      </c>
      <c r="I25" s="88" t="s">
        <v>353</v>
      </c>
      <c r="J25" s="88" t="s">
        <v>335</v>
      </c>
      <c r="K25" s="92" t="s">
        <v>407</v>
      </c>
      <c r="L25" s="93"/>
      <c r="M25" s="94" t="s">
        <v>2272</v>
      </c>
      <c r="N25" s="88" t="s">
        <v>353</v>
      </c>
      <c r="O25" s="88" t="s">
        <v>353</v>
      </c>
      <c r="P25" s="88" t="s">
        <v>353</v>
      </c>
      <c r="Q25" s="88" t="s">
        <v>353</v>
      </c>
      <c r="R25" s="88" t="s">
        <v>353</v>
      </c>
      <c r="S25" s="88" t="s">
        <v>483</v>
      </c>
      <c r="T25" s="88" t="s">
        <v>331</v>
      </c>
      <c r="U25" s="88" t="s">
        <v>130</v>
      </c>
      <c r="V25" s="88" t="s">
        <v>339</v>
      </c>
      <c r="W25" s="88" t="s">
        <v>351</v>
      </c>
      <c r="X25" s="88" t="s">
        <v>490</v>
      </c>
      <c r="Y25" s="88" t="s">
        <v>339</v>
      </c>
      <c r="Z25" s="88" t="s">
        <v>339</v>
      </c>
      <c r="AA25" s="95"/>
      <c r="AB25" s="88" t="s">
        <v>353</v>
      </c>
      <c r="AC25" s="88" t="s">
        <v>353</v>
      </c>
      <c r="AD25" s="88" t="s">
        <v>353</v>
      </c>
      <c r="AE25" s="88" t="s">
        <v>359</v>
      </c>
      <c r="AF25" s="88" t="s">
        <v>130</v>
      </c>
      <c r="AG25" s="88" t="s">
        <v>506</v>
      </c>
      <c r="AH25" s="88" t="s">
        <v>495</v>
      </c>
      <c r="AI25" s="88" t="s">
        <v>353</v>
      </c>
      <c r="AJ25" s="95"/>
      <c r="AK25" s="88" t="s">
        <v>339</v>
      </c>
      <c r="AL25" s="88" t="s">
        <v>339</v>
      </c>
      <c r="AM25" s="95"/>
      <c r="AN25" s="96" t="s">
        <v>507</v>
      </c>
      <c r="AO25" s="84"/>
    </row>
    <row r="26" spans="1:41" s="85" customFormat="1" x14ac:dyDescent="0.25">
      <c r="A26" s="88" t="s">
        <v>249</v>
      </c>
      <c r="B26" s="88" t="s">
        <v>508</v>
      </c>
      <c r="C26" s="88" t="s">
        <v>197</v>
      </c>
      <c r="D26" s="88" t="s">
        <v>250</v>
      </c>
      <c r="E26" s="88" t="s">
        <v>351</v>
      </c>
      <c r="F26" s="88" t="s">
        <v>484</v>
      </c>
      <c r="G26" s="101" t="s">
        <v>509</v>
      </c>
      <c r="H26" s="88" t="s">
        <v>333</v>
      </c>
      <c r="I26" s="88" t="s">
        <v>510</v>
      </c>
      <c r="J26" s="88" t="s">
        <v>335</v>
      </c>
      <c r="K26" s="92" t="s">
        <v>511</v>
      </c>
      <c r="L26" s="93"/>
      <c r="M26" s="94" t="s">
        <v>2270</v>
      </c>
      <c r="N26" s="88" t="s">
        <v>79</v>
      </c>
      <c r="O26" s="88" t="s">
        <v>336</v>
      </c>
      <c r="P26" s="88" t="s">
        <v>134</v>
      </c>
      <c r="Q26" s="88" t="s">
        <v>139</v>
      </c>
      <c r="R26" s="88" t="s">
        <v>489</v>
      </c>
      <c r="S26" s="88" t="s">
        <v>483</v>
      </c>
      <c r="T26" s="88" t="s">
        <v>351</v>
      </c>
      <c r="U26" s="88" t="s">
        <v>90</v>
      </c>
      <c r="V26" s="88" t="s">
        <v>331</v>
      </c>
      <c r="W26" s="88" t="s">
        <v>351</v>
      </c>
      <c r="X26" s="88" t="s">
        <v>425</v>
      </c>
      <c r="Y26" s="88" t="s">
        <v>331</v>
      </c>
      <c r="Z26" s="88" t="s">
        <v>512</v>
      </c>
      <c r="AA26" s="95"/>
      <c r="AB26" s="88" t="s">
        <v>513</v>
      </c>
      <c r="AC26" s="88" t="s">
        <v>514</v>
      </c>
      <c r="AD26" s="88" t="s">
        <v>342</v>
      </c>
      <c r="AE26" s="88" t="s">
        <v>359</v>
      </c>
      <c r="AF26" s="88" t="s">
        <v>130</v>
      </c>
      <c r="AG26" s="88" t="s">
        <v>515</v>
      </c>
      <c r="AH26" s="88" t="s">
        <v>375</v>
      </c>
      <c r="AI26" s="88" t="s">
        <v>346</v>
      </c>
      <c r="AJ26" s="95"/>
      <c r="AK26" s="88" t="s">
        <v>339</v>
      </c>
      <c r="AL26" s="88" t="s">
        <v>339</v>
      </c>
      <c r="AM26" s="95"/>
      <c r="AN26" s="96" t="s">
        <v>516</v>
      </c>
      <c r="AO26" s="84"/>
    </row>
    <row r="27" spans="1:41" s="85" customFormat="1" x14ac:dyDescent="0.25">
      <c r="A27" s="88" t="s">
        <v>251</v>
      </c>
      <c r="B27" s="88" t="s">
        <v>517</v>
      </c>
      <c r="C27" s="88" t="s">
        <v>252</v>
      </c>
      <c r="D27" s="88" t="s">
        <v>250</v>
      </c>
      <c r="E27" s="88" t="s">
        <v>351</v>
      </c>
      <c r="F27" s="88" t="s">
        <v>387</v>
      </c>
      <c r="G27" s="88">
        <v>2017</v>
      </c>
      <c r="H27" s="88">
        <v>2022</v>
      </c>
      <c r="I27" s="88" t="s">
        <v>518</v>
      </c>
      <c r="J27" s="88" t="s">
        <v>351</v>
      </c>
      <c r="K27" s="92" t="s">
        <v>518</v>
      </c>
      <c r="L27" s="93"/>
      <c r="M27" s="119" t="s">
        <v>2272</v>
      </c>
      <c r="N27" s="88" t="s">
        <v>519</v>
      </c>
      <c r="O27" s="88" t="s">
        <v>336</v>
      </c>
      <c r="P27" s="88" t="s">
        <v>520</v>
      </c>
      <c r="Q27" s="88" t="s">
        <v>521</v>
      </c>
      <c r="R27" s="88" t="s">
        <v>522</v>
      </c>
      <c r="S27" s="88" t="s">
        <v>331</v>
      </c>
      <c r="T27" s="88" t="s">
        <v>331</v>
      </c>
      <c r="U27" s="88" t="s">
        <v>523</v>
      </c>
      <c r="V27" s="88" t="s">
        <v>351</v>
      </c>
      <c r="W27" s="88" t="s">
        <v>351</v>
      </c>
      <c r="X27" s="88" t="s">
        <v>490</v>
      </c>
      <c r="Y27" s="88" t="s">
        <v>351</v>
      </c>
      <c r="Z27" s="88" t="s">
        <v>380</v>
      </c>
      <c r="AA27" s="95"/>
      <c r="AB27" s="88" t="s">
        <v>524</v>
      </c>
      <c r="AC27" s="88" t="s">
        <v>525</v>
      </c>
      <c r="AD27" s="88" t="s">
        <v>526</v>
      </c>
      <c r="AE27" s="88" t="s">
        <v>359</v>
      </c>
      <c r="AF27" s="88" t="s">
        <v>130</v>
      </c>
      <c r="AG27" s="88" t="s">
        <v>527</v>
      </c>
      <c r="AH27" s="88" t="s">
        <v>528</v>
      </c>
      <c r="AI27" s="88" t="s">
        <v>346</v>
      </c>
      <c r="AJ27" s="95"/>
      <c r="AK27" s="88" t="s">
        <v>529</v>
      </c>
      <c r="AL27" s="88" t="s">
        <v>529</v>
      </c>
      <c r="AM27" s="95"/>
      <c r="AN27" s="96" t="s">
        <v>530</v>
      </c>
      <c r="AO27" s="84"/>
    </row>
    <row r="28" spans="1:41" s="85" customFormat="1" x14ac:dyDescent="0.25">
      <c r="A28" s="88" t="s">
        <v>251</v>
      </c>
      <c r="B28" s="88" t="s">
        <v>531</v>
      </c>
      <c r="C28" s="88" t="s">
        <v>252</v>
      </c>
      <c r="D28" s="88" t="s">
        <v>250</v>
      </c>
      <c r="E28" s="88" t="s">
        <v>351</v>
      </c>
      <c r="F28" s="88" t="s">
        <v>387</v>
      </c>
      <c r="G28" s="88">
        <v>2015</v>
      </c>
      <c r="H28" s="88">
        <v>2020</v>
      </c>
      <c r="I28" s="88" t="s">
        <v>532</v>
      </c>
      <c r="J28" s="88" t="s">
        <v>351</v>
      </c>
      <c r="K28" s="92" t="s">
        <v>533</v>
      </c>
      <c r="L28" s="93"/>
      <c r="M28" s="94" t="s">
        <v>2270</v>
      </c>
      <c r="N28" s="88" t="s">
        <v>534</v>
      </c>
      <c r="O28" s="88" t="s">
        <v>535</v>
      </c>
      <c r="P28" s="88" t="s">
        <v>536</v>
      </c>
      <c r="Q28" s="88" t="s">
        <v>537</v>
      </c>
      <c r="R28" s="88" t="s">
        <v>538</v>
      </c>
      <c r="S28" s="88" t="s">
        <v>331</v>
      </c>
      <c r="T28" s="88" t="s">
        <v>331</v>
      </c>
      <c r="U28" s="88" t="s">
        <v>130</v>
      </c>
      <c r="V28" s="88" t="s">
        <v>351</v>
      </c>
      <c r="W28" s="88" t="s">
        <v>356</v>
      </c>
      <c r="X28" s="88" t="s">
        <v>130</v>
      </c>
      <c r="Y28" s="88" t="s">
        <v>351</v>
      </c>
      <c r="Z28" s="88" t="s">
        <v>380</v>
      </c>
      <c r="AA28" s="95"/>
      <c r="AB28" s="88" t="s">
        <v>539</v>
      </c>
      <c r="AC28" s="88" t="s">
        <v>540</v>
      </c>
      <c r="AD28" s="88" t="s">
        <v>541</v>
      </c>
      <c r="AE28" s="88" t="s">
        <v>359</v>
      </c>
      <c r="AF28" s="88" t="s">
        <v>130</v>
      </c>
      <c r="AG28" s="88" t="s">
        <v>542</v>
      </c>
      <c r="AH28" s="88" t="s">
        <v>543</v>
      </c>
      <c r="AI28" s="88" t="s">
        <v>544</v>
      </c>
      <c r="AJ28" s="95"/>
      <c r="AK28" s="88" t="s">
        <v>529</v>
      </c>
      <c r="AL28" s="88" t="s">
        <v>529</v>
      </c>
      <c r="AM28" s="95"/>
      <c r="AN28" s="96" t="s">
        <v>545</v>
      </c>
      <c r="AO28" s="84"/>
    </row>
    <row r="29" spans="1:41" s="85" customFormat="1" x14ac:dyDescent="0.25">
      <c r="A29" s="88" t="s">
        <v>251</v>
      </c>
      <c r="B29" s="88" t="s">
        <v>546</v>
      </c>
      <c r="C29" s="88" t="s">
        <v>252</v>
      </c>
      <c r="D29" s="88" t="s">
        <v>250</v>
      </c>
      <c r="E29" s="88" t="s">
        <v>351</v>
      </c>
      <c r="F29" s="88" t="s">
        <v>387</v>
      </c>
      <c r="G29" s="88">
        <v>2020</v>
      </c>
      <c r="H29" s="88">
        <v>2021</v>
      </c>
      <c r="I29" s="88" t="s">
        <v>547</v>
      </c>
      <c r="J29" s="88" t="s">
        <v>351</v>
      </c>
      <c r="K29" s="92" t="s">
        <v>548</v>
      </c>
      <c r="L29" s="93"/>
      <c r="M29" s="119" t="s">
        <v>2270</v>
      </c>
      <c r="N29" s="88" t="s">
        <v>549</v>
      </c>
      <c r="O29" s="88" t="s">
        <v>550</v>
      </c>
      <c r="P29" s="88" t="s">
        <v>117</v>
      </c>
      <c r="Q29" s="88" t="s">
        <v>139</v>
      </c>
      <c r="R29" s="88" t="s">
        <v>551</v>
      </c>
      <c r="S29" s="88" t="s">
        <v>331</v>
      </c>
      <c r="T29" s="88" t="s">
        <v>351</v>
      </c>
      <c r="U29" s="88" t="s">
        <v>78</v>
      </c>
      <c r="V29" s="88" t="s">
        <v>331</v>
      </c>
      <c r="W29" s="88" t="s">
        <v>356</v>
      </c>
      <c r="X29" s="88" t="s">
        <v>130</v>
      </c>
      <c r="Y29" s="88" t="s">
        <v>339</v>
      </c>
      <c r="Z29" s="88" t="s">
        <v>339</v>
      </c>
      <c r="AA29" s="95"/>
      <c r="AB29" s="88" t="s">
        <v>552</v>
      </c>
      <c r="AC29" s="88" t="s">
        <v>553</v>
      </c>
      <c r="AD29" s="88" t="s">
        <v>529</v>
      </c>
      <c r="AE29" s="88" t="s">
        <v>359</v>
      </c>
      <c r="AF29" s="88" t="s">
        <v>130</v>
      </c>
      <c r="AG29" s="88" t="s">
        <v>542</v>
      </c>
      <c r="AH29" s="88" t="s">
        <v>375</v>
      </c>
      <c r="AI29" s="88" t="s">
        <v>544</v>
      </c>
      <c r="AJ29" s="95"/>
      <c r="AK29" s="88" t="s">
        <v>529</v>
      </c>
      <c r="AL29" s="88" t="s">
        <v>529</v>
      </c>
      <c r="AM29" s="95"/>
      <c r="AN29" s="96" t="s">
        <v>554</v>
      </c>
      <c r="AO29" s="84"/>
    </row>
    <row r="30" spans="1:41" s="85" customFormat="1" x14ac:dyDescent="0.25">
      <c r="A30" s="88" t="s">
        <v>253</v>
      </c>
      <c r="B30" s="88" t="s">
        <v>555</v>
      </c>
      <c r="C30" s="88" t="s">
        <v>24</v>
      </c>
      <c r="D30" s="88" t="s">
        <v>43</v>
      </c>
      <c r="E30" s="88" t="s">
        <v>351</v>
      </c>
      <c r="F30" s="88" t="s">
        <v>484</v>
      </c>
      <c r="G30" s="101" t="s">
        <v>556</v>
      </c>
      <c r="H30" s="88" t="s">
        <v>333</v>
      </c>
      <c r="I30" s="88" t="s">
        <v>557</v>
      </c>
      <c r="J30" s="88" t="s">
        <v>335</v>
      </c>
      <c r="K30" s="92" t="s">
        <v>407</v>
      </c>
      <c r="L30" s="93"/>
      <c r="M30" s="94" t="s">
        <v>2248</v>
      </c>
      <c r="N30" s="88" t="s">
        <v>121</v>
      </c>
      <c r="O30" s="88" t="s">
        <v>558</v>
      </c>
      <c r="P30" s="88" t="s">
        <v>117</v>
      </c>
      <c r="Q30" s="88" t="s">
        <v>139</v>
      </c>
      <c r="R30" s="88" t="s">
        <v>138</v>
      </c>
      <c r="S30" s="88" t="s">
        <v>331</v>
      </c>
      <c r="T30" s="88" t="s">
        <v>331</v>
      </c>
      <c r="U30" s="88" t="s">
        <v>130</v>
      </c>
      <c r="V30" s="88" t="s">
        <v>339</v>
      </c>
      <c r="W30" s="88" t="s">
        <v>351</v>
      </c>
      <c r="X30" s="88" t="s">
        <v>490</v>
      </c>
      <c r="Y30" s="88" t="s">
        <v>339</v>
      </c>
      <c r="Z30" s="88" t="s">
        <v>339</v>
      </c>
      <c r="AA30" s="95"/>
      <c r="AB30" s="88" t="s">
        <v>559</v>
      </c>
      <c r="AC30" s="88" t="s">
        <v>560</v>
      </c>
      <c r="AD30" s="88" t="s">
        <v>342</v>
      </c>
      <c r="AE30" s="88" t="s">
        <v>359</v>
      </c>
      <c r="AF30" s="88" t="s">
        <v>561</v>
      </c>
      <c r="AG30" s="88" t="s">
        <v>562</v>
      </c>
      <c r="AH30" s="88" t="s">
        <v>563</v>
      </c>
      <c r="AI30" s="88" t="s">
        <v>346</v>
      </c>
      <c r="AJ30" s="95"/>
      <c r="AK30" s="88" t="s">
        <v>339</v>
      </c>
      <c r="AL30" s="88" t="s">
        <v>339</v>
      </c>
      <c r="AM30" s="95"/>
      <c r="AN30" s="96" t="s">
        <v>564</v>
      </c>
      <c r="AO30" s="84"/>
    </row>
    <row r="31" spans="1:41" s="85" customFormat="1" x14ac:dyDescent="0.25">
      <c r="A31" s="88" t="s">
        <v>253</v>
      </c>
      <c r="B31" s="88" t="s">
        <v>565</v>
      </c>
      <c r="C31" s="88" t="s">
        <v>24</v>
      </c>
      <c r="D31" s="88" t="s">
        <v>43</v>
      </c>
      <c r="E31" s="88" t="s">
        <v>351</v>
      </c>
      <c r="F31" s="88" t="s">
        <v>484</v>
      </c>
      <c r="G31" s="100" t="s">
        <v>566</v>
      </c>
      <c r="H31" s="88" t="s">
        <v>333</v>
      </c>
      <c r="I31" s="88" t="s">
        <v>567</v>
      </c>
      <c r="J31" s="88" t="s">
        <v>335</v>
      </c>
      <c r="K31" s="92" t="s">
        <v>568</v>
      </c>
      <c r="L31" s="93"/>
      <c r="M31" s="94" t="s">
        <v>2248</v>
      </c>
      <c r="N31" s="88" t="s">
        <v>79</v>
      </c>
      <c r="O31" s="88" t="s">
        <v>336</v>
      </c>
      <c r="P31" s="88" t="s">
        <v>134</v>
      </c>
      <c r="Q31" s="88" t="s">
        <v>139</v>
      </c>
      <c r="R31" s="88" t="s">
        <v>77</v>
      </c>
      <c r="S31" s="88" t="s">
        <v>331</v>
      </c>
      <c r="T31" s="88" t="s">
        <v>331</v>
      </c>
      <c r="U31" s="88" t="s">
        <v>130</v>
      </c>
      <c r="V31" s="88" t="s">
        <v>339</v>
      </c>
      <c r="W31" s="88" t="s">
        <v>351</v>
      </c>
      <c r="X31" s="88" t="s">
        <v>490</v>
      </c>
      <c r="Y31" s="88" t="s">
        <v>339</v>
      </c>
      <c r="Z31" s="88" t="s">
        <v>339</v>
      </c>
      <c r="AA31" s="95"/>
      <c r="AB31" s="88" t="s">
        <v>569</v>
      </c>
      <c r="AC31" s="88" t="s">
        <v>570</v>
      </c>
      <c r="AD31" s="88" t="s">
        <v>342</v>
      </c>
      <c r="AE31" s="88" t="s">
        <v>359</v>
      </c>
      <c r="AF31" s="88" t="s">
        <v>571</v>
      </c>
      <c r="AG31" s="88" t="s">
        <v>572</v>
      </c>
      <c r="AH31" s="88" t="s">
        <v>375</v>
      </c>
      <c r="AI31" s="88" t="s">
        <v>346</v>
      </c>
      <c r="AJ31" s="95"/>
      <c r="AK31" s="88" t="s">
        <v>339</v>
      </c>
      <c r="AL31" s="88" t="s">
        <v>573</v>
      </c>
      <c r="AM31" s="95"/>
      <c r="AN31" s="96" t="s">
        <v>574</v>
      </c>
      <c r="AO31" s="84"/>
    </row>
    <row r="32" spans="1:41" s="85" customFormat="1" x14ac:dyDescent="0.25">
      <c r="A32" s="88" t="s">
        <v>253</v>
      </c>
      <c r="B32" s="88" t="s">
        <v>575</v>
      </c>
      <c r="C32" s="88" t="s">
        <v>24</v>
      </c>
      <c r="D32" s="88" t="s">
        <v>43</v>
      </c>
      <c r="E32" s="88" t="s">
        <v>351</v>
      </c>
      <c r="F32" s="88" t="s">
        <v>406</v>
      </c>
      <c r="G32" s="88">
        <v>2013</v>
      </c>
      <c r="H32" s="88" t="s">
        <v>333</v>
      </c>
      <c r="I32" s="88" t="s">
        <v>576</v>
      </c>
      <c r="J32" s="88" t="s">
        <v>335</v>
      </c>
      <c r="K32" s="92" t="s">
        <v>577</v>
      </c>
      <c r="L32" s="93"/>
      <c r="M32" s="94" t="s">
        <v>2272</v>
      </c>
      <c r="N32" s="88" t="s">
        <v>121</v>
      </c>
      <c r="O32" s="88" t="s">
        <v>122</v>
      </c>
      <c r="P32" s="88" t="s">
        <v>134</v>
      </c>
      <c r="Q32" s="88" t="s">
        <v>139</v>
      </c>
      <c r="R32" s="88" t="s">
        <v>119</v>
      </c>
      <c r="S32" s="88" t="s">
        <v>331</v>
      </c>
      <c r="T32" s="88" t="s">
        <v>331</v>
      </c>
      <c r="U32" s="88" t="s">
        <v>130</v>
      </c>
      <c r="V32" s="88" t="s">
        <v>331</v>
      </c>
      <c r="W32" s="88" t="s">
        <v>356</v>
      </c>
      <c r="X32" s="88" t="s">
        <v>130</v>
      </c>
      <c r="Y32" s="88" t="s">
        <v>331</v>
      </c>
      <c r="Z32" s="88" t="s">
        <v>512</v>
      </c>
      <c r="AA32" s="95"/>
      <c r="AB32" s="88" t="s">
        <v>578</v>
      </c>
      <c r="AC32" s="88" t="s">
        <v>579</v>
      </c>
      <c r="AD32" s="88" t="s">
        <v>342</v>
      </c>
      <c r="AE32" s="88" t="s">
        <v>359</v>
      </c>
      <c r="AF32" s="88" t="s">
        <v>130</v>
      </c>
      <c r="AG32" s="88" t="s">
        <v>361</v>
      </c>
      <c r="AH32" s="88" t="s">
        <v>580</v>
      </c>
      <c r="AI32" s="88" t="s">
        <v>346</v>
      </c>
      <c r="AJ32" s="95"/>
      <c r="AK32" s="88" t="s">
        <v>573</v>
      </c>
      <c r="AL32" s="88" t="s">
        <v>573</v>
      </c>
      <c r="AM32" s="95"/>
      <c r="AN32" s="88" t="s">
        <v>581</v>
      </c>
      <c r="AO32" s="84"/>
    </row>
    <row r="33" spans="1:41" s="85" customFormat="1" x14ac:dyDescent="0.25">
      <c r="A33" s="88" t="s">
        <v>254</v>
      </c>
      <c r="B33" s="88" t="s">
        <v>582</v>
      </c>
      <c r="C33" s="88" t="s">
        <v>197</v>
      </c>
      <c r="D33" s="88" t="s">
        <v>43</v>
      </c>
      <c r="E33" s="88" t="s">
        <v>331</v>
      </c>
      <c r="F33" s="88" t="s">
        <v>387</v>
      </c>
      <c r="G33" s="100" t="s">
        <v>583</v>
      </c>
      <c r="H33" s="100" t="s">
        <v>584</v>
      </c>
      <c r="I33" s="88" t="s">
        <v>585</v>
      </c>
      <c r="J33" s="88" t="s">
        <v>351</v>
      </c>
      <c r="K33" s="92" t="s">
        <v>586</v>
      </c>
      <c r="L33" s="93"/>
      <c r="M33" s="94" t="s">
        <v>2272</v>
      </c>
      <c r="N33" s="88" t="s">
        <v>115</v>
      </c>
      <c r="O33" s="88" t="s">
        <v>98</v>
      </c>
      <c r="P33" s="88" t="s">
        <v>134</v>
      </c>
      <c r="Q33" s="88" t="s">
        <v>139</v>
      </c>
      <c r="R33" s="88" t="s">
        <v>77</v>
      </c>
      <c r="S33" s="88" t="s">
        <v>331</v>
      </c>
      <c r="T33" s="88" t="s">
        <v>331</v>
      </c>
      <c r="U33" s="88" t="s">
        <v>130</v>
      </c>
      <c r="V33" s="88" t="s">
        <v>351</v>
      </c>
      <c r="W33" s="88" t="s">
        <v>2237</v>
      </c>
      <c r="X33" s="88" t="s">
        <v>130</v>
      </c>
      <c r="Y33" s="88" t="s">
        <v>351</v>
      </c>
      <c r="Z33" s="88" t="s">
        <v>339</v>
      </c>
      <c r="AA33" s="95"/>
      <c r="AB33" s="88" t="s">
        <v>587</v>
      </c>
      <c r="AC33" s="97" t="s">
        <v>588</v>
      </c>
      <c r="AD33" s="88" t="s">
        <v>589</v>
      </c>
      <c r="AE33" s="88" t="s">
        <v>590</v>
      </c>
      <c r="AF33" s="88" t="s">
        <v>130</v>
      </c>
      <c r="AG33" s="88" t="s">
        <v>361</v>
      </c>
      <c r="AH33" s="88" t="s">
        <v>375</v>
      </c>
      <c r="AI33" s="88" t="s">
        <v>346</v>
      </c>
      <c r="AJ33" s="95"/>
      <c r="AK33" s="88" t="s">
        <v>591</v>
      </c>
      <c r="AL33" s="88" t="s">
        <v>339</v>
      </c>
      <c r="AM33" s="95"/>
      <c r="AN33" s="96" t="s">
        <v>592</v>
      </c>
      <c r="AO33" s="84"/>
    </row>
    <row r="34" spans="1:41" s="85" customFormat="1" x14ac:dyDescent="0.25">
      <c r="A34" s="88" t="s">
        <v>254</v>
      </c>
      <c r="B34" s="88" t="s">
        <v>593</v>
      </c>
      <c r="C34" s="88" t="s">
        <v>197</v>
      </c>
      <c r="D34" s="88" t="s">
        <v>43</v>
      </c>
      <c r="E34" s="88" t="s">
        <v>331</v>
      </c>
      <c r="F34" s="88" t="s">
        <v>399</v>
      </c>
      <c r="G34" s="88" t="s">
        <v>416</v>
      </c>
      <c r="H34" s="88" t="s">
        <v>333</v>
      </c>
      <c r="I34" s="88" t="s">
        <v>353</v>
      </c>
      <c r="J34" s="88" t="s">
        <v>335</v>
      </c>
      <c r="K34" s="92" t="s">
        <v>407</v>
      </c>
      <c r="L34" s="93"/>
      <c r="M34" s="94" t="s">
        <v>2272</v>
      </c>
      <c r="N34" s="88" t="s">
        <v>73</v>
      </c>
      <c r="O34" s="88" t="s">
        <v>336</v>
      </c>
      <c r="P34" s="88" t="s">
        <v>134</v>
      </c>
      <c r="Q34" s="88" t="s">
        <v>139</v>
      </c>
      <c r="R34" s="88" t="s">
        <v>77</v>
      </c>
      <c r="S34" s="88" t="s">
        <v>331</v>
      </c>
      <c r="T34" s="88" t="s">
        <v>331</v>
      </c>
      <c r="U34" s="88" t="s">
        <v>130</v>
      </c>
      <c r="V34" s="88" t="s">
        <v>339</v>
      </c>
      <c r="W34" s="88" t="s">
        <v>529</v>
      </c>
      <c r="X34" s="88" t="s">
        <v>130</v>
      </c>
      <c r="Y34" s="88" t="s">
        <v>339</v>
      </c>
      <c r="Z34" s="88" t="s">
        <v>339</v>
      </c>
      <c r="AA34" s="95"/>
      <c r="AB34" s="88" t="s">
        <v>594</v>
      </c>
      <c r="AC34" s="88" t="s">
        <v>595</v>
      </c>
      <c r="AD34" s="88" t="s">
        <v>596</v>
      </c>
      <c r="AE34" s="88" t="s">
        <v>359</v>
      </c>
      <c r="AF34" s="88" t="s">
        <v>130</v>
      </c>
      <c r="AG34" s="88" t="s">
        <v>361</v>
      </c>
      <c r="AH34" s="88" t="s">
        <v>375</v>
      </c>
      <c r="AI34" s="88" t="s">
        <v>346</v>
      </c>
      <c r="AJ34" s="95"/>
      <c r="AK34" s="88" t="s">
        <v>339</v>
      </c>
      <c r="AL34" s="88" t="s">
        <v>339</v>
      </c>
      <c r="AM34" s="95"/>
      <c r="AN34" s="96" t="s">
        <v>597</v>
      </c>
      <c r="AO34" s="84"/>
    </row>
    <row r="35" spans="1:41" s="85" customFormat="1" x14ac:dyDescent="0.25">
      <c r="A35" s="88" t="s">
        <v>255</v>
      </c>
      <c r="B35" s="88" t="s">
        <v>598</v>
      </c>
      <c r="C35" s="88" t="s">
        <v>24</v>
      </c>
      <c r="D35" s="88" t="s">
        <v>250</v>
      </c>
      <c r="E35" s="88" t="s">
        <v>351</v>
      </c>
      <c r="F35" s="88" t="s">
        <v>484</v>
      </c>
      <c r="G35" s="88" t="s">
        <v>416</v>
      </c>
      <c r="H35" s="88" t="s">
        <v>333</v>
      </c>
      <c r="I35" s="88" t="s">
        <v>353</v>
      </c>
      <c r="J35" s="88" t="s">
        <v>335</v>
      </c>
      <c r="K35" s="92" t="s">
        <v>407</v>
      </c>
      <c r="L35" s="93"/>
      <c r="M35" s="94" t="s">
        <v>2248</v>
      </c>
      <c r="N35" s="88" t="s">
        <v>353</v>
      </c>
      <c r="O35" s="88" t="s">
        <v>353</v>
      </c>
      <c r="P35" s="88" t="s">
        <v>353</v>
      </c>
      <c r="Q35" s="88" t="s">
        <v>353</v>
      </c>
      <c r="R35" s="88" t="s">
        <v>353</v>
      </c>
      <c r="S35" s="88" t="s">
        <v>331</v>
      </c>
      <c r="T35" s="88" t="s">
        <v>331</v>
      </c>
      <c r="U35" s="88" t="s">
        <v>130</v>
      </c>
      <c r="V35" s="88" t="s">
        <v>339</v>
      </c>
      <c r="W35" s="88" t="s">
        <v>339</v>
      </c>
      <c r="X35" s="88" t="s">
        <v>130</v>
      </c>
      <c r="Y35" s="88" t="s">
        <v>339</v>
      </c>
      <c r="Z35" s="88" t="s">
        <v>339</v>
      </c>
      <c r="AA35" s="95"/>
      <c r="AB35" s="88" t="s">
        <v>353</v>
      </c>
      <c r="AC35" s="88" t="s">
        <v>353</v>
      </c>
      <c r="AD35" s="88" t="s">
        <v>353</v>
      </c>
      <c r="AE35" s="88" t="s">
        <v>359</v>
      </c>
      <c r="AF35" s="88" t="s">
        <v>353</v>
      </c>
      <c r="AG35" s="88" t="s">
        <v>353</v>
      </c>
      <c r="AH35" s="88" t="s">
        <v>353</v>
      </c>
      <c r="AI35" s="88" t="s">
        <v>353</v>
      </c>
      <c r="AJ35" s="95"/>
      <c r="AK35" s="88" t="s">
        <v>339</v>
      </c>
      <c r="AL35" s="88" t="s">
        <v>339</v>
      </c>
      <c r="AM35" s="95"/>
      <c r="AN35" s="96" t="s">
        <v>599</v>
      </c>
      <c r="AO35" s="84"/>
    </row>
    <row r="36" spans="1:41" s="85" customFormat="1" x14ac:dyDescent="0.25">
      <c r="A36" s="88" t="s">
        <v>256</v>
      </c>
      <c r="B36" s="88" t="s">
        <v>600</v>
      </c>
      <c r="C36" s="88" t="s">
        <v>24</v>
      </c>
      <c r="D36" s="88" t="s">
        <v>250</v>
      </c>
      <c r="E36" s="88" t="s">
        <v>351</v>
      </c>
      <c r="F36" s="88" t="s">
        <v>387</v>
      </c>
      <c r="G36" s="88">
        <v>2012</v>
      </c>
      <c r="H36" s="88" t="s">
        <v>333</v>
      </c>
      <c r="I36" s="88" t="s">
        <v>353</v>
      </c>
      <c r="J36" s="88" t="s">
        <v>601</v>
      </c>
      <c r="K36" s="92" t="s">
        <v>407</v>
      </c>
      <c r="L36" s="93"/>
      <c r="M36" s="94" t="s">
        <v>2272</v>
      </c>
      <c r="N36" s="88" t="s">
        <v>353</v>
      </c>
      <c r="O36" s="88" t="s">
        <v>353</v>
      </c>
      <c r="P36" s="88" t="s">
        <v>602</v>
      </c>
      <c r="Q36" s="88" t="s">
        <v>353</v>
      </c>
      <c r="R36" s="88" t="s">
        <v>353</v>
      </c>
      <c r="S36" s="88" t="s">
        <v>353</v>
      </c>
      <c r="T36" s="88" t="s">
        <v>331</v>
      </c>
      <c r="U36" s="88" t="s">
        <v>130</v>
      </c>
      <c r="V36" s="88" t="s">
        <v>331</v>
      </c>
      <c r="W36" s="88" t="s">
        <v>339</v>
      </c>
      <c r="X36" s="88" t="s">
        <v>130</v>
      </c>
      <c r="Y36" s="88" t="s">
        <v>339</v>
      </c>
      <c r="Z36" s="88" t="s">
        <v>339</v>
      </c>
      <c r="AA36" s="95"/>
      <c r="AB36" s="88" t="s">
        <v>603</v>
      </c>
      <c r="AC36" s="88" t="s">
        <v>604</v>
      </c>
      <c r="AD36" s="88" t="s">
        <v>353</v>
      </c>
      <c r="AE36" s="88" t="s">
        <v>359</v>
      </c>
      <c r="AF36" s="88" t="s">
        <v>353</v>
      </c>
      <c r="AG36" s="88" t="s">
        <v>361</v>
      </c>
      <c r="AH36" s="88" t="s">
        <v>353</v>
      </c>
      <c r="AI36" s="88" t="s">
        <v>353</v>
      </c>
      <c r="AJ36" s="95"/>
      <c r="AK36" s="88" t="s">
        <v>339</v>
      </c>
      <c r="AL36" s="88" t="s">
        <v>339</v>
      </c>
      <c r="AM36" s="95"/>
      <c r="AN36" s="88"/>
      <c r="AO36" s="84"/>
    </row>
    <row r="37" spans="1:41" s="85" customFormat="1" x14ac:dyDescent="0.25">
      <c r="A37" s="88" t="s">
        <v>256</v>
      </c>
      <c r="B37" s="88" t="s">
        <v>605</v>
      </c>
      <c r="C37" s="88" t="s">
        <v>24</v>
      </c>
      <c r="D37" s="88" t="s">
        <v>250</v>
      </c>
      <c r="E37" s="88" t="s">
        <v>351</v>
      </c>
      <c r="F37" s="88" t="s">
        <v>399</v>
      </c>
      <c r="G37" s="100" t="s">
        <v>606</v>
      </c>
      <c r="H37" s="88" t="s">
        <v>333</v>
      </c>
      <c r="I37" s="88" t="s">
        <v>607</v>
      </c>
      <c r="J37" s="88" t="s">
        <v>335</v>
      </c>
      <c r="K37" s="92" t="s">
        <v>608</v>
      </c>
      <c r="L37" s="93"/>
      <c r="M37" s="94" t="s">
        <v>2272</v>
      </c>
      <c r="N37" s="88" t="s">
        <v>609</v>
      </c>
      <c r="O37" s="88" t="s">
        <v>336</v>
      </c>
      <c r="P37" s="88" t="s">
        <v>81</v>
      </c>
      <c r="Q37" s="88" t="s">
        <v>139</v>
      </c>
      <c r="R37" s="88" t="s">
        <v>138</v>
      </c>
      <c r="S37" s="88" t="s">
        <v>331</v>
      </c>
      <c r="T37" s="88" t="s">
        <v>331</v>
      </c>
      <c r="U37" s="88" t="s">
        <v>130</v>
      </c>
      <c r="V37" s="88" t="s">
        <v>339</v>
      </c>
      <c r="W37" s="88" t="s">
        <v>339</v>
      </c>
      <c r="X37" s="88" t="s">
        <v>130</v>
      </c>
      <c r="Y37" s="88" t="s">
        <v>339</v>
      </c>
      <c r="Z37" s="88" t="s">
        <v>512</v>
      </c>
      <c r="AA37" s="95"/>
      <c r="AB37" s="88" t="s">
        <v>610</v>
      </c>
      <c r="AC37" s="88" t="s">
        <v>611</v>
      </c>
      <c r="AD37" s="88" t="s">
        <v>342</v>
      </c>
      <c r="AE37" s="88" t="s">
        <v>359</v>
      </c>
      <c r="AF37" s="88" t="s">
        <v>130</v>
      </c>
      <c r="AG37" s="88" t="s">
        <v>361</v>
      </c>
      <c r="AH37" s="88" t="s">
        <v>612</v>
      </c>
      <c r="AI37" s="88" t="s">
        <v>346</v>
      </c>
      <c r="AJ37" s="95"/>
      <c r="AK37" s="88" t="s">
        <v>339</v>
      </c>
      <c r="AL37" s="88" t="s">
        <v>339</v>
      </c>
      <c r="AM37" s="95"/>
      <c r="AN37" s="96" t="s">
        <v>613</v>
      </c>
      <c r="AO37" s="84"/>
    </row>
    <row r="38" spans="1:41" s="85" customFormat="1" x14ac:dyDescent="0.25">
      <c r="A38" s="88" t="s">
        <v>257</v>
      </c>
      <c r="B38" s="88" t="s">
        <v>614</v>
      </c>
      <c r="C38" s="88" t="s">
        <v>252</v>
      </c>
      <c r="D38" s="88" t="s">
        <v>43</v>
      </c>
      <c r="E38" s="88" t="s">
        <v>331</v>
      </c>
      <c r="F38" s="88" t="s">
        <v>332</v>
      </c>
      <c r="G38" s="88">
        <v>2019</v>
      </c>
      <c r="H38" s="88" t="s">
        <v>333</v>
      </c>
      <c r="I38" s="88" t="s">
        <v>615</v>
      </c>
      <c r="J38" s="88" t="s">
        <v>351</v>
      </c>
      <c r="K38" s="92" t="s">
        <v>616</v>
      </c>
      <c r="L38" s="93"/>
      <c r="M38" s="94" t="s">
        <v>2272</v>
      </c>
      <c r="N38" s="88" t="s">
        <v>617</v>
      </c>
      <c r="O38" s="88" t="s">
        <v>618</v>
      </c>
      <c r="P38" s="88" t="s">
        <v>602</v>
      </c>
      <c r="Q38" s="88" t="s">
        <v>619</v>
      </c>
      <c r="R38" s="88" t="s">
        <v>77</v>
      </c>
      <c r="S38" s="88" t="s">
        <v>331</v>
      </c>
      <c r="T38" s="88" t="s">
        <v>331</v>
      </c>
      <c r="U38" s="88" t="s">
        <v>130</v>
      </c>
      <c r="V38" s="88" t="s">
        <v>351</v>
      </c>
      <c r="W38" s="88" t="s">
        <v>529</v>
      </c>
      <c r="X38" s="88" t="s">
        <v>130</v>
      </c>
      <c r="Y38" s="88" t="s">
        <v>351</v>
      </c>
      <c r="Z38" s="88" t="s">
        <v>380</v>
      </c>
      <c r="AA38" s="95"/>
      <c r="AB38" s="88" t="s">
        <v>620</v>
      </c>
      <c r="AC38" s="88" t="s">
        <v>621</v>
      </c>
      <c r="AD38" s="88" t="s">
        <v>622</v>
      </c>
      <c r="AE38" s="88" t="s">
        <v>448</v>
      </c>
      <c r="AF38" s="88" t="s">
        <v>130</v>
      </c>
      <c r="AG38" s="88" t="s">
        <v>361</v>
      </c>
      <c r="AH38" s="88" t="s">
        <v>623</v>
      </c>
      <c r="AI38" s="88" t="s">
        <v>346</v>
      </c>
      <c r="AJ38" s="95"/>
      <c r="AK38" s="88" t="s">
        <v>339</v>
      </c>
      <c r="AL38" s="88" t="s">
        <v>339</v>
      </c>
      <c r="AM38" s="95"/>
      <c r="AN38" s="96" t="s">
        <v>624</v>
      </c>
      <c r="AO38" s="84"/>
    </row>
    <row r="39" spans="1:41" s="85" customFormat="1" x14ac:dyDescent="0.25">
      <c r="A39" s="88" t="s">
        <v>258</v>
      </c>
      <c r="B39" s="88" t="s">
        <v>625</v>
      </c>
      <c r="C39" s="88" t="s">
        <v>197</v>
      </c>
      <c r="D39" s="88" t="s">
        <v>43</v>
      </c>
      <c r="E39" s="88" t="s">
        <v>351</v>
      </c>
      <c r="F39" s="88" t="s">
        <v>406</v>
      </c>
      <c r="G39" s="100" t="s">
        <v>626</v>
      </c>
      <c r="H39" s="88" t="s">
        <v>333</v>
      </c>
      <c r="I39" s="88" t="s">
        <v>627</v>
      </c>
      <c r="J39" s="88" t="s">
        <v>335</v>
      </c>
      <c r="K39" s="92" t="s">
        <v>628</v>
      </c>
      <c r="L39" s="93"/>
      <c r="M39" s="94" t="s">
        <v>2270</v>
      </c>
      <c r="N39" s="88" t="s">
        <v>629</v>
      </c>
      <c r="O39" s="88" t="s">
        <v>630</v>
      </c>
      <c r="P39" s="88" t="s">
        <v>134</v>
      </c>
      <c r="Q39" s="88" t="s">
        <v>139</v>
      </c>
      <c r="R39" s="88" t="s">
        <v>138</v>
      </c>
      <c r="S39" s="88" t="s">
        <v>331</v>
      </c>
      <c r="T39" s="88" t="s">
        <v>331</v>
      </c>
      <c r="U39" s="88" t="s">
        <v>130</v>
      </c>
      <c r="V39" s="88" t="s">
        <v>331</v>
      </c>
      <c r="W39" s="88" t="s">
        <v>351</v>
      </c>
      <c r="X39" s="88" t="s">
        <v>490</v>
      </c>
      <c r="Y39" s="88" t="s">
        <v>331</v>
      </c>
      <c r="Z39" s="88" t="s">
        <v>331</v>
      </c>
      <c r="AA39" s="95"/>
      <c r="AB39" s="88" t="s">
        <v>631</v>
      </c>
      <c r="AC39" s="88" t="s">
        <v>632</v>
      </c>
      <c r="AD39" s="88" t="s">
        <v>342</v>
      </c>
      <c r="AE39" s="88" t="s">
        <v>359</v>
      </c>
      <c r="AF39" s="88" t="s">
        <v>130</v>
      </c>
      <c r="AG39" s="88" t="s">
        <v>633</v>
      </c>
      <c r="AH39" s="88" t="s">
        <v>634</v>
      </c>
      <c r="AI39" s="88" t="s">
        <v>346</v>
      </c>
      <c r="AJ39" s="95"/>
      <c r="AK39" s="88" t="s">
        <v>339</v>
      </c>
      <c r="AL39" s="88" t="s">
        <v>339</v>
      </c>
      <c r="AM39" s="95"/>
      <c r="AN39" s="96" t="s">
        <v>635</v>
      </c>
      <c r="AO39" s="84"/>
    </row>
    <row r="40" spans="1:41" s="85" customFormat="1" x14ac:dyDescent="0.25">
      <c r="A40" s="88" t="s">
        <v>258</v>
      </c>
      <c r="B40" s="88" t="s">
        <v>636</v>
      </c>
      <c r="C40" s="88" t="s">
        <v>197</v>
      </c>
      <c r="D40" s="88" t="s">
        <v>43</v>
      </c>
      <c r="E40" s="88" t="s">
        <v>351</v>
      </c>
      <c r="F40" s="88" t="s">
        <v>406</v>
      </c>
      <c r="G40" s="88" t="s">
        <v>416</v>
      </c>
      <c r="H40" s="88" t="s">
        <v>333</v>
      </c>
      <c r="I40" s="88" t="s">
        <v>353</v>
      </c>
      <c r="J40" s="88" t="s">
        <v>351</v>
      </c>
      <c r="K40" s="92" t="s">
        <v>407</v>
      </c>
      <c r="L40" s="93"/>
      <c r="M40" s="94" t="s">
        <v>2248</v>
      </c>
      <c r="N40" s="88" t="s">
        <v>353</v>
      </c>
      <c r="O40" s="88" t="s">
        <v>353</v>
      </c>
      <c r="P40" s="88" t="s">
        <v>134</v>
      </c>
      <c r="Q40" s="88" t="s">
        <v>137</v>
      </c>
      <c r="R40" s="88" t="s">
        <v>353</v>
      </c>
      <c r="S40" s="88" t="s">
        <v>2253</v>
      </c>
      <c r="T40" s="88" t="s">
        <v>331</v>
      </c>
      <c r="U40" s="88" t="s">
        <v>130</v>
      </c>
      <c r="V40" s="88" t="s">
        <v>351</v>
      </c>
      <c r="W40" s="88" t="s">
        <v>339</v>
      </c>
      <c r="X40" s="88" t="s">
        <v>130</v>
      </c>
      <c r="Y40" s="88" t="s">
        <v>339</v>
      </c>
      <c r="Z40" s="88" t="s">
        <v>339</v>
      </c>
      <c r="AA40" s="95"/>
      <c r="AB40" s="88" t="s">
        <v>637</v>
      </c>
      <c r="AC40" s="88" t="s">
        <v>353</v>
      </c>
      <c r="AD40" s="88" t="s">
        <v>638</v>
      </c>
      <c r="AE40" s="88" t="s">
        <v>359</v>
      </c>
      <c r="AF40" s="88" t="s">
        <v>130</v>
      </c>
      <c r="AG40" s="88" t="s">
        <v>361</v>
      </c>
      <c r="AH40" s="88" t="s">
        <v>375</v>
      </c>
      <c r="AI40" s="88" t="s">
        <v>346</v>
      </c>
      <c r="AJ40" s="95"/>
      <c r="AK40" s="88" t="s">
        <v>339</v>
      </c>
      <c r="AL40" s="88" t="s">
        <v>339</v>
      </c>
      <c r="AM40" s="95"/>
      <c r="AN40" s="96" t="s">
        <v>639</v>
      </c>
      <c r="AO40" s="84"/>
    </row>
    <row r="41" spans="1:41" s="85" customFormat="1" x14ac:dyDescent="0.25">
      <c r="A41" s="88" t="s">
        <v>258</v>
      </c>
      <c r="B41" s="88" t="s">
        <v>640</v>
      </c>
      <c r="C41" s="88" t="s">
        <v>197</v>
      </c>
      <c r="D41" s="88" t="s">
        <v>43</v>
      </c>
      <c r="E41" s="88" t="s">
        <v>351</v>
      </c>
      <c r="F41" s="88" t="s">
        <v>406</v>
      </c>
      <c r="G41" s="101" t="s">
        <v>641</v>
      </c>
      <c r="H41" s="88" t="s">
        <v>333</v>
      </c>
      <c r="I41" s="88" t="s">
        <v>642</v>
      </c>
      <c r="J41" s="88" t="s">
        <v>335</v>
      </c>
      <c r="K41" s="92" t="s">
        <v>643</v>
      </c>
      <c r="L41" s="93"/>
      <c r="M41" s="94" t="s">
        <v>2248</v>
      </c>
      <c r="N41" s="88" t="s">
        <v>644</v>
      </c>
      <c r="O41" s="88" t="s">
        <v>336</v>
      </c>
      <c r="P41" s="88" t="s">
        <v>645</v>
      </c>
      <c r="Q41" s="88" t="s">
        <v>128</v>
      </c>
      <c r="R41" s="88" t="s">
        <v>138</v>
      </c>
      <c r="S41" s="88" t="s">
        <v>331</v>
      </c>
      <c r="T41" s="88" t="s">
        <v>351</v>
      </c>
      <c r="U41" s="88" t="s">
        <v>84</v>
      </c>
      <c r="V41" s="88" t="s">
        <v>331</v>
      </c>
      <c r="W41" s="88" t="s">
        <v>356</v>
      </c>
      <c r="X41" s="88" t="s">
        <v>130</v>
      </c>
      <c r="Y41" s="88" t="s">
        <v>339</v>
      </c>
      <c r="Z41" s="88" t="s">
        <v>339</v>
      </c>
      <c r="AA41" s="95"/>
      <c r="AB41" s="88" t="s">
        <v>529</v>
      </c>
      <c r="AC41" s="88" t="s">
        <v>646</v>
      </c>
      <c r="AD41" s="88" t="s">
        <v>342</v>
      </c>
      <c r="AE41" s="88" t="s">
        <v>394</v>
      </c>
      <c r="AF41" s="88" t="s">
        <v>130</v>
      </c>
      <c r="AG41" s="88" t="s">
        <v>542</v>
      </c>
      <c r="AH41" s="88" t="s">
        <v>528</v>
      </c>
      <c r="AI41" s="88" t="s">
        <v>346</v>
      </c>
      <c r="AJ41" s="95"/>
      <c r="AK41" s="88" t="s">
        <v>339</v>
      </c>
      <c r="AL41" s="88" t="s">
        <v>339</v>
      </c>
      <c r="AM41" s="95"/>
      <c r="AN41" s="88" t="s">
        <v>647</v>
      </c>
      <c r="AO41" s="84"/>
    </row>
    <row r="42" spans="1:41" s="85" customFormat="1" x14ac:dyDescent="0.25">
      <c r="A42" s="88" t="s">
        <v>259</v>
      </c>
      <c r="B42" s="98" t="s">
        <v>648</v>
      </c>
      <c r="C42" s="88" t="s">
        <v>24</v>
      </c>
      <c r="D42" s="88" t="s">
        <v>250</v>
      </c>
      <c r="E42" s="88" t="s">
        <v>351</v>
      </c>
      <c r="F42" s="88" t="s">
        <v>484</v>
      </c>
      <c r="G42" s="102" t="s">
        <v>649</v>
      </c>
      <c r="H42" s="88" t="s">
        <v>333</v>
      </c>
      <c r="I42" s="88" t="s">
        <v>650</v>
      </c>
      <c r="J42" s="88" t="s">
        <v>335</v>
      </c>
      <c r="K42" s="92" t="s">
        <v>650</v>
      </c>
      <c r="L42" s="93"/>
      <c r="M42" s="94" t="s">
        <v>2270</v>
      </c>
      <c r="N42" s="88" t="s">
        <v>121</v>
      </c>
      <c r="O42" s="88" t="s">
        <v>92</v>
      </c>
      <c r="P42" s="88" t="s">
        <v>134</v>
      </c>
      <c r="Q42" s="88" t="s">
        <v>139</v>
      </c>
      <c r="R42" s="88" t="s">
        <v>138</v>
      </c>
      <c r="S42" s="88" t="s">
        <v>331</v>
      </c>
      <c r="T42" s="88" t="s">
        <v>331</v>
      </c>
      <c r="U42" s="88" t="s">
        <v>130</v>
      </c>
      <c r="V42" s="88" t="s">
        <v>331</v>
      </c>
      <c r="W42" s="88" t="s">
        <v>351</v>
      </c>
      <c r="X42" s="88" t="s">
        <v>338</v>
      </c>
      <c r="Y42" s="88" t="s">
        <v>331</v>
      </c>
      <c r="Z42" s="88" t="s">
        <v>331</v>
      </c>
      <c r="AA42" s="95"/>
      <c r="AB42" s="88" t="s">
        <v>651</v>
      </c>
      <c r="AC42" s="88" t="s">
        <v>652</v>
      </c>
      <c r="AD42" s="88" t="s">
        <v>342</v>
      </c>
      <c r="AE42" s="88" t="s">
        <v>359</v>
      </c>
      <c r="AF42" s="88" t="s">
        <v>130</v>
      </c>
      <c r="AG42" s="88" t="s">
        <v>653</v>
      </c>
      <c r="AH42" s="88" t="s">
        <v>375</v>
      </c>
      <c r="AI42" s="88" t="s">
        <v>346</v>
      </c>
      <c r="AJ42" s="95"/>
      <c r="AK42" s="88" t="s">
        <v>339</v>
      </c>
      <c r="AL42" s="88" t="s">
        <v>339</v>
      </c>
      <c r="AM42" s="95"/>
      <c r="AN42" s="96" t="s">
        <v>654</v>
      </c>
      <c r="AO42" s="84"/>
    </row>
    <row r="43" spans="1:41" s="85" customFormat="1" x14ac:dyDescent="0.25">
      <c r="A43" s="88" t="s">
        <v>259</v>
      </c>
      <c r="B43" s="88" t="s">
        <v>655</v>
      </c>
      <c r="C43" s="88" t="s">
        <v>24</v>
      </c>
      <c r="D43" s="88" t="s">
        <v>250</v>
      </c>
      <c r="E43" s="88" t="s">
        <v>351</v>
      </c>
      <c r="F43" s="88" t="s">
        <v>484</v>
      </c>
      <c r="G43" s="100" t="s">
        <v>656</v>
      </c>
      <c r="H43" s="88" t="s">
        <v>333</v>
      </c>
      <c r="I43" s="88" t="s">
        <v>657</v>
      </c>
      <c r="J43" s="88" t="s">
        <v>351</v>
      </c>
      <c r="K43" s="92" t="s">
        <v>407</v>
      </c>
      <c r="L43" s="93"/>
      <c r="M43" s="119" t="s">
        <v>2252</v>
      </c>
      <c r="N43" s="88" t="s">
        <v>534</v>
      </c>
      <c r="O43" s="88" t="s">
        <v>658</v>
      </c>
      <c r="P43" s="88" t="s">
        <v>659</v>
      </c>
      <c r="Q43" s="88" t="s">
        <v>139</v>
      </c>
      <c r="R43" s="88" t="s">
        <v>138</v>
      </c>
      <c r="S43" s="88" t="s">
        <v>331</v>
      </c>
      <c r="T43" s="88" t="s">
        <v>331</v>
      </c>
      <c r="U43" s="88" t="s">
        <v>130</v>
      </c>
      <c r="V43" s="88" t="s">
        <v>331</v>
      </c>
      <c r="W43" s="88" t="s">
        <v>356</v>
      </c>
      <c r="X43" s="88" t="s">
        <v>130</v>
      </c>
      <c r="Y43" s="88" t="s">
        <v>331</v>
      </c>
      <c r="Z43" s="88" t="s">
        <v>331</v>
      </c>
      <c r="AA43" s="95"/>
      <c r="AB43" s="88" t="s">
        <v>660</v>
      </c>
      <c r="AC43" s="88" t="s">
        <v>661</v>
      </c>
      <c r="AD43" s="88" t="s">
        <v>342</v>
      </c>
      <c r="AE43" s="88" t="s">
        <v>359</v>
      </c>
      <c r="AF43" s="88" t="s">
        <v>130</v>
      </c>
      <c r="AG43" s="88" t="s">
        <v>662</v>
      </c>
      <c r="AH43" s="88" t="s">
        <v>375</v>
      </c>
      <c r="AI43" s="88" t="s">
        <v>346</v>
      </c>
      <c r="AJ43" s="95"/>
      <c r="AK43" s="88" t="s">
        <v>339</v>
      </c>
      <c r="AL43" s="88" t="s">
        <v>339</v>
      </c>
      <c r="AM43" s="95"/>
      <c r="AN43" s="88" t="s">
        <v>663</v>
      </c>
      <c r="AO43" s="84"/>
    </row>
    <row r="44" spans="1:41" s="85" customFormat="1" x14ac:dyDescent="0.25">
      <c r="A44" s="88" t="s">
        <v>260</v>
      </c>
      <c r="B44" s="88" t="s">
        <v>664</v>
      </c>
      <c r="C44" s="88" t="s">
        <v>252</v>
      </c>
      <c r="D44" s="88" t="s">
        <v>43</v>
      </c>
      <c r="E44" s="88" t="s">
        <v>331</v>
      </c>
      <c r="F44" s="88" t="s">
        <v>387</v>
      </c>
      <c r="G44" s="88">
        <v>2016</v>
      </c>
      <c r="H44" s="88" t="s">
        <v>333</v>
      </c>
      <c r="I44" s="88" t="s">
        <v>665</v>
      </c>
      <c r="J44" s="88" t="s">
        <v>335</v>
      </c>
      <c r="K44" s="92" t="s">
        <v>665</v>
      </c>
      <c r="L44" s="93"/>
      <c r="M44" s="94" t="s">
        <v>2272</v>
      </c>
      <c r="N44" s="88" t="s">
        <v>73</v>
      </c>
      <c r="O44" s="88" t="s">
        <v>336</v>
      </c>
      <c r="P44" s="88" t="s">
        <v>134</v>
      </c>
      <c r="Q44" s="88" t="s">
        <v>139</v>
      </c>
      <c r="R44" s="88" t="s">
        <v>138</v>
      </c>
      <c r="S44" s="88" t="s">
        <v>331</v>
      </c>
      <c r="T44" s="88" t="s">
        <v>331</v>
      </c>
      <c r="U44" s="88" t="s">
        <v>130</v>
      </c>
      <c r="V44" s="88" t="s">
        <v>339</v>
      </c>
      <c r="W44" s="88" t="s">
        <v>529</v>
      </c>
      <c r="X44" s="88" t="s">
        <v>130</v>
      </c>
      <c r="Y44" s="88" t="s">
        <v>339</v>
      </c>
      <c r="Z44" s="88" t="s">
        <v>512</v>
      </c>
      <c r="AA44" s="95"/>
      <c r="AB44" s="88" t="s">
        <v>666</v>
      </c>
      <c r="AC44" s="88" t="s">
        <v>667</v>
      </c>
      <c r="AD44" s="88" t="s">
        <v>342</v>
      </c>
      <c r="AE44" s="88" t="s">
        <v>359</v>
      </c>
      <c r="AF44" s="88" t="s">
        <v>130</v>
      </c>
      <c r="AG44" s="88" t="s">
        <v>361</v>
      </c>
      <c r="AH44" s="88" t="s">
        <v>668</v>
      </c>
      <c r="AI44" s="88" t="s">
        <v>346</v>
      </c>
      <c r="AJ44" s="95"/>
      <c r="AK44" s="88" t="s">
        <v>339</v>
      </c>
      <c r="AL44" s="88" t="s">
        <v>339</v>
      </c>
      <c r="AM44" s="95"/>
      <c r="AN44" s="96" t="s">
        <v>669</v>
      </c>
      <c r="AO44" s="84"/>
    </row>
    <row r="45" spans="1:41" s="85" customFormat="1" x14ac:dyDescent="0.25">
      <c r="A45" s="88" t="s">
        <v>260</v>
      </c>
      <c r="B45" s="88" t="s">
        <v>670</v>
      </c>
      <c r="C45" s="88" t="s">
        <v>252</v>
      </c>
      <c r="D45" s="88" t="s">
        <v>43</v>
      </c>
      <c r="E45" s="88" t="s">
        <v>331</v>
      </c>
      <c r="F45" s="88" t="s">
        <v>387</v>
      </c>
      <c r="G45" s="88">
        <v>2018</v>
      </c>
      <c r="H45" s="88">
        <v>2023</v>
      </c>
      <c r="I45" s="88" t="s">
        <v>671</v>
      </c>
      <c r="J45" s="88" t="s">
        <v>351</v>
      </c>
      <c r="K45" s="92" t="s">
        <v>672</v>
      </c>
      <c r="L45" s="93"/>
      <c r="M45" s="94" t="s">
        <v>2272</v>
      </c>
      <c r="N45" s="88" t="s">
        <v>673</v>
      </c>
      <c r="O45" s="88" t="s">
        <v>131</v>
      </c>
      <c r="P45" s="88" t="s">
        <v>602</v>
      </c>
      <c r="Q45" s="88" t="s">
        <v>139</v>
      </c>
      <c r="R45" s="88" t="s">
        <v>138</v>
      </c>
      <c r="S45" s="88" t="s">
        <v>331</v>
      </c>
      <c r="T45" s="88" t="s">
        <v>331</v>
      </c>
      <c r="U45" s="88" t="s">
        <v>130</v>
      </c>
      <c r="V45" s="88" t="s">
        <v>351</v>
      </c>
      <c r="W45" s="88" t="s">
        <v>529</v>
      </c>
      <c r="X45" s="88" t="s">
        <v>130</v>
      </c>
      <c r="Y45" s="88" t="s">
        <v>351</v>
      </c>
      <c r="Z45" s="88" t="s">
        <v>512</v>
      </c>
      <c r="AA45" s="95"/>
      <c r="AB45" s="88" t="s">
        <v>674</v>
      </c>
      <c r="AC45" s="88" t="s">
        <v>675</v>
      </c>
      <c r="AD45" s="88" t="s">
        <v>676</v>
      </c>
      <c r="AE45" s="88" t="s">
        <v>394</v>
      </c>
      <c r="AF45" s="88" t="s">
        <v>677</v>
      </c>
      <c r="AG45" s="88" t="s">
        <v>361</v>
      </c>
      <c r="AH45" s="88" t="s">
        <v>375</v>
      </c>
      <c r="AI45" s="88" t="s">
        <v>346</v>
      </c>
      <c r="AJ45" s="95"/>
      <c r="AK45" s="88" t="s">
        <v>678</v>
      </c>
      <c r="AL45" s="88" t="s">
        <v>339</v>
      </c>
      <c r="AM45" s="95"/>
      <c r="AN45" s="96" t="s">
        <v>679</v>
      </c>
      <c r="AO45" s="84"/>
    </row>
    <row r="46" spans="1:41" s="85" customFormat="1" x14ac:dyDescent="0.25">
      <c r="A46" s="88" t="s">
        <v>261</v>
      </c>
      <c r="B46" s="88" t="s">
        <v>680</v>
      </c>
      <c r="C46" s="88" t="s">
        <v>42</v>
      </c>
      <c r="D46" s="88" t="s">
        <v>43</v>
      </c>
      <c r="E46" s="88" t="s">
        <v>351</v>
      </c>
      <c r="F46" s="88" t="s">
        <v>387</v>
      </c>
      <c r="G46" s="88">
        <v>2014</v>
      </c>
      <c r="H46" s="88">
        <v>2019</v>
      </c>
      <c r="I46" s="88" t="s">
        <v>681</v>
      </c>
      <c r="J46" s="88" t="s">
        <v>351</v>
      </c>
      <c r="K46" s="92" t="s">
        <v>682</v>
      </c>
      <c r="L46" s="93"/>
      <c r="M46" s="94" t="s">
        <v>2272</v>
      </c>
      <c r="N46" s="88" t="s">
        <v>683</v>
      </c>
      <c r="O46" s="88" t="s">
        <v>684</v>
      </c>
      <c r="P46" s="88" t="s">
        <v>685</v>
      </c>
      <c r="Q46" s="88" t="s">
        <v>139</v>
      </c>
      <c r="R46" s="88" t="s">
        <v>686</v>
      </c>
      <c r="S46" s="88" t="s">
        <v>331</v>
      </c>
      <c r="T46" s="88" t="s">
        <v>331</v>
      </c>
      <c r="U46" s="88" t="s">
        <v>130</v>
      </c>
      <c r="V46" s="88" t="s">
        <v>351</v>
      </c>
      <c r="W46" s="88" t="s">
        <v>351</v>
      </c>
      <c r="X46" s="88" t="s">
        <v>131</v>
      </c>
      <c r="Y46" s="88" t="s">
        <v>351</v>
      </c>
      <c r="Z46" s="88" t="s">
        <v>512</v>
      </c>
      <c r="AA46" s="95"/>
      <c r="AB46" s="88" t="s">
        <v>687</v>
      </c>
      <c r="AC46" s="88" t="s">
        <v>688</v>
      </c>
      <c r="AD46" s="88" t="s">
        <v>689</v>
      </c>
      <c r="AE46" s="88" t="s">
        <v>394</v>
      </c>
      <c r="AF46" s="88" t="s">
        <v>130</v>
      </c>
      <c r="AG46" s="88" t="s">
        <v>690</v>
      </c>
      <c r="AH46" s="88" t="s">
        <v>375</v>
      </c>
      <c r="AI46" s="88" t="s">
        <v>346</v>
      </c>
      <c r="AJ46" s="95"/>
      <c r="AK46" s="88" t="s">
        <v>691</v>
      </c>
      <c r="AL46" s="88" t="s">
        <v>692</v>
      </c>
      <c r="AM46" s="95"/>
      <c r="AN46" s="96" t="s">
        <v>693</v>
      </c>
      <c r="AO46" s="84"/>
    </row>
    <row r="47" spans="1:41" s="85" customFormat="1" x14ac:dyDescent="0.25">
      <c r="A47" s="88" t="s">
        <v>261</v>
      </c>
      <c r="B47" s="88" t="s">
        <v>694</v>
      </c>
      <c r="C47" s="88" t="s">
        <v>42</v>
      </c>
      <c r="D47" s="88" t="s">
        <v>43</v>
      </c>
      <c r="E47" s="88" t="s">
        <v>351</v>
      </c>
      <c r="F47" s="88" t="s">
        <v>332</v>
      </c>
      <c r="G47" s="101" t="s">
        <v>641</v>
      </c>
      <c r="H47" s="88" t="s">
        <v>333</v>
      </c>
      <c r="I47" s="88" t="s">
        <v>682</v>
      </c>
      <c r="J47" s="88" t="s">
        <v>335</v>
      </c>
      <c r="K47" s="92" t="s">
        <v>682</v>
      </c>
      <c r="L47" s="93"/>
      <c r="M47" s="94" t="s">
        <v>2272</v>
      </c>
      <c r="N47" s="88" t="s">
        <v>79</v>
      </c>
      <c r="O47" s="88" t="s">
        <v>336</v>
      </c>
      <c r="P47" s="88" t="s">
        <v>117</v>
      </c>
      <c r="Q47" s="88" t="s">
        <v>139</v>
      </c>
      <c r="R47" s="88" t="s">
        <v>138</v>
      </c>
      <c r="S47" s="88" t="s">
        <v>331</v>
      </c>
      <c r="T47" s="88" t="s">
        <v>351</v>
      </c>
      <c r="U47" s="88" t="s">
        <v>90</v>
      </c>
      <c r="V47" s="88" t="s">
        <v>339</v>
      </c>
      <c r="W47" s="88" t="s">
        <v>351</v>
      </c>
      <c r="X47" s="88" t="s">
        <v>131</v>
      </c>
      <c r="Y47" s="88" t="s">
        <v>339</v>
      </c>
      <c r="Z47" s="88" t="s">
        <v>339</v>
      </c>
      <c r="AA47" s="95"/>
      <c r="AB47" s="88" t="s">
        <v>695</v>
      </c>
      <c r="AC47" s="88" t="s">
        <v>696</v>
      </c>
      <c r="AD47" s="88" t="s">
        <v>342</v>
      </c>
      <c r="AE47" s="88" t="s">
        <v>359</v>
      </c>
      <c r="AF47" s="88" t="s">
        <v>130</v>
      </c>
      <c r="AG47" s="88" t="s">
        <v>361</v>
      </c>
      <c r="AH47" s="88" t="s">
        <v>375</v>
      </c>
      <c r="AI47" s="88" t="s">
        <v>346</v>
      </c>
      <c r="AJ47" s="95"/>
      <c r="AK47" s="88" t="s">
        <v>339</v>
      </c>
      <c r="AL47" s="88" t="s">
        <v>339</v>
      </c>
      <c r="AM47" s="95"/>
      <c r="AN47" s="96" t="s">
        <v>697</v>
      </c>
      <c r="AO47" s="84"/>
    </row>
    <row r="48" spans="1:41" s="85" customFormat="1" x14ac:dyDescent="0.25">
      <c r="A48" s="88" t="s">
        <v>261</v>
      </c>
      <c r="B48" s="88" t="s">
        <v>698</v>
      </c>
      <c r="C48" s="88" t="s">
        <v>42</v>
      </c>
      <c r="D48" s="88" t="s">
        <v>43</v>
      </c>
      <c r="E48" s="88" t="s">
        <v>351</v>
      </c>
      <c r="F48" s="88" t="s">
        <v>332</v>
      </c>
      <c r="G48" s="88">
        <v>2009</v>
      </c>
      <c r="H48" s="88" t="s">
        <v>333</v>
      </c>
      <c r="I48" s="88" t="s">
        <v>699</v>
      </c>
      <c r="J48" s="88" t="s">
        <v>335</v>
      </c>
      <c r="K48" s="92" t="s">
        <v>700</v>
      </c>
      <c r="L48" s="93"/>
      <c r="M48" s="94" t="s">
        <v>2248</v>
      </c>
      <c r="N48" s="88" t="s">
        <v>121</v>
      </c>
      <c r="O48" s="88" t="s">
        <v>408</v>
      </c>
      <c r="P48" s="88" t="s">
        <v>134</v>
      </c>
      <c r="Q48" s="88" t="s">
        <v>139</v>
      </c>
      <c r="R48" s="88" t="s">
        <v>138</v>
      </c>
      <c r="S48" s="88" t="s">
        <v>331</v>
      </c>
      <c r="T48" s="88" t="s">
        <v>331</v>
      </c>
      <c r="U48" s="88" t="s">
        <v>130</v>
      </c>
      <c r="V48" s="88" t="s">
        <v>331</v>
      </c>
      <c r="W48" s="88" t="s">
        <v>339</v>
      </c>
      <c r="X48" s="88" t="s">
        <v>130</v>
      </c>
      <c r="Y48" s="88" t="s">
        <v>339</v>
      </c>
      <c r="Z48" s="88" t="s">
        <v>339</v>
      </c>
      <c r="AA48" s="95"/>
      <c r="AB48" s="88" t="s">
        <v>701</v>
      </c>
      <c r="AC48" s="97" t="s">
        <v>702</v>
      </c>
      <c r="AD48" s="88" t="s">
        <v>342</v>
      </c>
      <c r="AE48" s="88" t="s">
        <v>359</v>
      </c>
      <c r="AF48" s="88" t="s">
        <v>130</v>
      </c>
      <c r="AG48" s="88" t="s">
        <v>361</v>
      </c>
      <c r="AH48" s="88" t="s">
        <v>703</v>
      </c>
      <c r="AI48" s="88" t="s">
        <v>346</v>
      </c>
      <c r="AJ48" s="95"/>
      <c r="AK48" s="88" t="s">
        <v>704</v>
      </c>
      <c r="AL48" s="88" t="s">
        <v>339</v>
      </c>
      <c r="AM48" s="95"/>
      <c r="AN48" s="96" t="s">
        <v>705</v>
      </c>
      <c r="AO48" s="84"/>
    </row>
    <row r="49" spans="1:41" s="85" customFormat="1" x14ac:dyDescent="0.25">
      <c r="A49" s="88" t="s">
        <v>261</v>
      </c>
      <c r="B49" s="88" t="s">
        <v>706</v>
      </c>
      <c r="C49" s="88" t="s">
        <v>42</v>
      </c>
      <c r="D49" s="88" t="s">
        <v>43</v>
      </c>
      <c r="E49" s="88" t="s">
        <v>351</v>
      </c>
      <c r="F49" s="88" t="s">
        <v>399</v>
      </c>
      <c r="G49" s="101" t="s">
        <v>707</v>
      </c>
      <c r="H49" s="88">
        <v>2024</v>
      </c>
      <c r="I49" s="88" t="s">
        <v>708</v>
      </c>
      <c r="J49" s="88" t="s">
        <v>335</v>
      </c>
      <c r="K49" s="92" t="s">
        <v>708</v>
      </c>
      <c r="L49" s="93"/>
      <c r="M49" s="94" t="s">
        <v>2272</v>
      </c>
      <c r="N49" s="88" t="s">
        <v>476</v>
      </c>
      <c r="O49" s="88" t="s">
        <v>122</v>
      </c>
      <c r="P49" s="88" t="s">
        <v>134</v>
      </c>
      <c r="Q49" s="88" t="s">
        <v>139</v>
      </c>
      <c r="R49" s="88" t="s">
        <v>709</v>
      </c>
      <c r="S49" s="88" t="s">
        <v>331</v>
      </c>
      <c r="T49" s="88" t="s">
        <v>331</v>
      </c>
      <c r="U49" s="88" t="s">
        <v>130</v>
      </c>
      <c r="V49" s="88" t="s">
        <v>351</v>
      </c>
      <c r="W49" s="88" t="s">
        <v>351</v>
      </c>
      <c r="X49" s="88" t="s">
        <v>131</v>
      </c>
      <c r="Y49" s="88" t="s">
        <v>339</v>
      </c>
      <c r="Z49" s="88" t="s">
        <v>339</v>
      </c>
      <c r="AA49" s="95"/>
      <c r="AB49" s="88" t="s">
        <v>710</v>
      </c>
      <c r="AC49" s="88" t="s">
        <v>711</v>
      </c>
      <c r="AD49" s="88" t="s">
        <v>712</v>
      </c>
      <c r="AE49" s="88" t="s">
        <v>359</v>
      </c>
      <c r="AF49" s="88" t="s">
        <v>130</v>
      </c>
      <c r="AG49" s="88" t="s">
        <v>713</v>
      </c>
      <c r="AH49" s="88" t="s">
        <v>375</v>
      </c>
      <c r="AI49" s="88" t="s">
        <v>346</v>
      </c>
      <c r="AJ49" s="95"/>
      <c r="AK49" s="88" t="s">
        <v>714</v>
      </c>
      <c r="AL49" s="88" t="s">
        <v>715</v>
      </c>
      <c r="AM49" s="95"/>
      <c r="AN49" s="96" t="s">
        <v>716</v>
      </c>
      <c r="AO49" s="84"/>
    </row>
    <row r="50" spans="1:41" s="85" customFormat="1" x14ac:dyDescent="0.25">
      <c r="A50" s="88" t="s">
        <v>261</v>
      </c>
      <c r="B50" s="88" t="s">
        <v>717</v>
      </c>
      <c r="C50" s="88" t="s">
        <v>42</v>
      </c>
      <c r="D50" s="88" t="s">
        <v>43</v>
      </c>
      <c r="E50" s="88" t="s">
        <v>351</v>
      </c>
      <c r="F50" s="88" t="s">
        <v>718</v>
      </c>
      <c r="G50" s="88">
        <v>2016</v>
      </c>
      <c r="H50" s="88" t="s">
        <v>333</v>
      </c>
      <c r="I50" s="88" t="s">
        <v>719</v>
      </c>
      <c r="J50" s="88" t="s">
        <v>351</v>
      </c>
      <c r="K50" s="92" t="s">
        <v>720</v>
      </c>
      <c r="L50" s="93"/>
      <c r="M50" s="94" t="s">
        <v>2272</v>
      </c>
      <c r="N50" s="88" t="s">
        <v>79</v>
      </c>
      <c r="O50" s="88" t="s">
        <v>336</v>
      </c>
      <c r="P50" s="88" t="s">
        <v>721</v>
      </c>
      <c r="Q50" s="88" t="s">
        <v>139</v>
      </c>
      <c r="R50" s="88" t="s">
        <v>138</v>
      </c>
      <c r="S50" s="88" t="s">
        <v>331</v>
      </c>
      <c r="T50" s="88" t="s">
        <v>331</v>
      </c>
      <c r="U50" s="88" t="s">
        <v>130</v>
      </c>
      <c r="V50" s="88" t="s">
        <v>351</v>
      </c>
      <c r="W50" s="88" t="s">
        <v>339</v>
      </c>
      <c r="X50" s="88" t="s">
        <v>130</v>
      </c>
      <c r="Y50" s="88" t="s">
        <v>339</v>
      </c>
      <c r="Z50" s="88" t="s">
        <v>339</v>
      </c>
      <c r="AA50" s="95"/>
      <c r="AB50" s="88" t="s">
        <v>722</v>
      </c>
      <c r="AC50" s="88" t="s">
        <v>723</v>
      </c>
      <c r="AD50" s="88" t="s">
        <v>724</v>
      </c>
      <c r="AE50" s="88" t="s">
        <v>359</v>
      </c>
      <c r="AF50" s="88" t="s">
        <v>130</v>
      </c>
      <c r="AG50" s="88" t="s">
        <v>361</v>
      </c>
      <c r="AH50" s="88" t="s">
        <v>375</v>
      </c>
      <c r="AI50" s="88" t="s">
        <v>346</v>
      </c>
      <c r="AJ50" s="95"/>
      <c r="AK50" s="88" t="s">
        <v>339</v>
      </c>
      <c r="AL50" s="88" t="s">
        <v>339</v>
      </c>
      <c r="AM50" s="95"/>
      <c r="AN50" s="96" t="s">
        <v>725</v>
      </c>
      <c r="AO50" s="84"/>
    </row>
    <row r="51" spans="1:41" s="85" customFormat="1" x14ac:dyDescent="0.25">
      <c r="A51" s="88" t="s">
        <v>261</v>
      </c>
      <c r="B51" s="88" t="s">
        <v>726</v>
      </c>
      <c r="C51" s="88" t="s">
        <v>42</v>
      </c>
      <c r="D51" s="88" t="s">
        <v>43</v>
      </c>
      <c r="E51" s="88" t="s">
        <v>351</v>
      </c>
      <c r="F51" s="88" t="s">
        <v>399</v>
      </c>
      <c r="G51" s="88">
        <v>2007</v>
      </c>
      <c r="H51" s="88" t="s">
        <v>333</v>
      </c>
      <c r="I51" s="88" t="s">
        <v>353</v>
      </c>
      <c r="J51" s="88" t="s">
        <v>335</v>
      </c>
      <c r="K51" s="92" t="s">
        <v>727</v>
      </c>
      <c r="L51" s="93"/>
      <c r="M51" s="94" t="s">
        <v>2248</v>
      </c>
      <c r="N51" s="88" t="s">
        <v>121</v>
      </c>
      <c r="O51" s="88" t="s">
        <v>80</v>
      </c>
      <c r="P51" s="88" t="s">
        <v>134</v>
      </c>
      <c r="Q51" s="88" t="s">
        <v>139</v>
      </c>
      <c r="R51" s="88" t="s">
        <v>138</v>
      </c>
      <c r="S51" s="88" t="s">
        <v>331</v>
      </c>
      <c r="T51" s="88" t="s">
        <v>331</v>
      </c>
      <c r="U51" s="88" t="s">
        <v>130</v>
      </c>
      <c r="V51" s="88" t="s">
        <v>339</v>
      </c>
      <c r="W51" s="88" t="s">
        <v>339</v>
      </c>
      <c r="X51" s="88" t="s">
        <v>130</v>
      </c>
      <c r="Y51" s="88" t="s">
        <v>339</v>
      </c>
      <c r="Z51" s="88" t="s">
        <v>339</v>
      </c>
      <c r="AA51" s="95"/>
      <c r="AB51" s="88" t="s">
        <v>728</v>
      </c>
      <c r="AC51" s="88" t="s">
        <v>729</v>
      </c>
      <c r="AD51" s="88" t="s">
        <v>342</v>
      </c>
      <c r="AE51" s="88" t="s">
        <v>359</v>
      </c>
      <c r="AF51" s="88" t="s">
        <v>130</v>
      </c>
      <c r="AG51" s="88" t="s">
        <v>361</v>
      </c>
      <c r="AH51" s="88" t="s">
        <v>375</v>
      </c>
      <c r="AI51" s="88" t="s">
        <v>346</v>
      </c>
      <c r="AJ51" s="95"/>
      <c r="AK51" s="88" t="s">
        <v>730</v>
      </c>
      <c r="AL51" s="88" t="s">
        <v>339</v>
      </c>
      <c r="AM51" s="95"/>
      <c r="AN51" s="96" t="s">
        <v>731</v>
      </c>
      <c r="AO51" s="84"/>
    </row>
    <row r="52" spans="1:41" s="85" customFormat="1" x14ac:dyDescent="0.25">
      <c r="A52" s="88" t="s">
        <v>261</v>
      </c>
      <c r="B52" s="88" t="s">
        <v>682</v>
      </c>
      <c r="C52" s="88" t="s">
        <v>42</v>
      </c>
      <c r="D52" s="88" t="s">
        <v>43</v>
      </c>
      <c r="E52" s="88" t="s">
        <v>351</v>
      </c>
      <c r="F52" s="88" t="s">
        <v>387</v>
      </c>
      <c r="G52" s="101" t="s">
        <v>732</v>
      </c>
      <c r="H52" s="88" t="s">
        <v>333</v>
      </c>
      <c r="I52" s="88" t="s">
        <v>733</v>
      </c>
      <c r="J52" s="88" t="s">
        <v>335</v>
      </c>
      <c r="K52" s="92" t="s">
        <v>734</v>
      </c>
      <c r="L52" s="93"/>
      <c r="M52" s="94" t="s">
        <v>2248</v>
      </c>
      <c r="N52" s="88" t="s">
        <v>735</v>
      </c>
      <c r="O52" s="88" t="s">
        <v>684</v>
      </c>
      <c r="P52" s="88" t="s">
        <v>134</v>
      </c>
      <c r="Q52" s="88" t="s">
        <v>139</v>
      </c>
      <c r="R52" s="88" t="s">
        <v>138</v>
      </c>
      <c r="S52" s="88" t="s">
        <v>331</v>
      </c>
      <c r="T52" s="88" t="s">
        <v>331</v>
      </c>
      <c r="U52" s="88" t="s">
        <v>130</v>
      </c>
      <c r="V52" s="88" t="s">
        <v>339</v>
      </c>
      <c r="W52" s="88" t="s">
        <v>351</v>
      </c>
      <c r="X52" s="88" t="s">
        <v>338</v>
      </c>
      <c r="Y52" s="88" t="s">
        <v>339</v>
      </c>
      <c r="Z52" s="88" t="s">
        <v>339</v>
      </c>
      <c r="AA52" s="95"/>
      <c r="AB52" s="88" t="s">
        <v>736</v>
      </c>
      <c r="AC52" s="88" t="s">
        <v>737</v>
      </c>
      <c r="AD52" s="88" t="s">
        <v>342</v>
      </c>
      <c r="AE52" s="88" t="s">
        <v>359</v>
      </c>
      <c r="AF52" s="88" t="s">
        <v>130</v>
      </c>
      <c r="AG52" s="88" t="s">
        <v>690</v>
      </c>
      <c r="AH52" s="88" t="s">
        <v>738</v>
      </c>
      <c r="AI52" s="88" t="s">
        <v>346</v>
      </c>
      <c r="AJ52" s="95"/>
      <c r="AK52" s="88" t="s">
        <v>739</v>
      </c>
      <c r="AL52" s="88" t="s">
        <v>740</v>
      </c>
      <c r="AM52" s="95"/>
      <c r="AN52" s="88" t="s">
        <v>741</v>
      </c>
      <c r="AO52" s="84"/>
    </row>
    <row r="53" spans="1:41" s="85" customFormat="1" x14ac:dyDescent="0.25">
      <c r="A53" s="88" t="s">
        <v>261</v>
      </c>
      <c r="B53" s="88" t="s">
        <v>742</v>
      </c>
      <c r="C53" s="88" t="s">
        <v>42</v>
      </c>
      <c r="D53" s="88" t="s">
        <v>43</v>
      </c>
      <c r="E53" s="88" t="s">
        <v>351</v>
      </c>
      <c r="F53" s="88" t="s">
        <v>387</v>
      </c>
      <c r="G53" s="101" t="s">
        <v>743</v>
      </c>
      <c r="H53" s="101" t="s">
        <v>744</v>
      </c>
      <c r="I53" s="88" t="s">
        <v>745</v>
      </c>
      <c r="J53" s="88" t="s">
        <v>351</v>
      </c>
      <c r="K53" s="92" t="s">
        <v>746</v>
      </c>
      <c r="L53" s="93"/>
      <c r="M53" s="94" t="s">
        <v>2272</v>
      </c>
      <c r="N53" s="88" t="s">
        <v>747</v>
      </c>
      <c r="O53" s="88" t="s">
        <v>336</v>
      </c>
      <c r="P53" s="88" t="s">
        <v>602</v>
      </c>
      <c r="Q53" s="88" t="s">
        <v>139</v>
      </c>
      <c r="R53" s="88" t="s">
        <v>138</v>
      </c>
      <c r="S53" s="88" t="s">
        <v>331</v>
      </c>
      <c r="T53" s="88" t="s">
        <v>331</v>
      </c>
      <c r="U53" s="88" t="s">
        <v>130</v>
      </c>
      <c r="V53" s="88" t="s">
        <v>331</v>
      </c>
      <c r="W53" s="88" t="s">
        <v>351</v>
      </c>
      <c r="X53" s="88" t="s">
        <v>131</v>
      </c>
      <c r="Y53" s="88" t="s">
        <v>351</v>
      </c>
      <c r="Z53" s="88" t="s">
        <v>380</v>
      </c>
      <c r="AA53" s="95"/>
      <c r="AB53" s="88" t="s">
        <v>748</v>
      </c>
      <c r="AC53" s="88" t="s">
        <v>749</v>
      </c>
      <c r="AD53" s="88" t="s">
        <v>750</v>
      </c>
      <c r="AE53" s="88" t="s">
        <v>751</v>
      </c>
      <c r="AF53" s="88" t="s">
        <v>130</v>
      </c>
      <c r="AG53" s="88" t="s">
        <v>752</v>
      </c>
      <c r="AH53" s="88" t="s">
        <v>375</v>
      </c>
      <c r="AI53" s="88" t="s">
        <v>346</v>
      </c>
      <c r="AJ53" s="95"/>
      <c r="AK53" s="88" t="s">
        <v>753</v>
      </c>
      <c r="AL53" s="88" t="s">
        <v>754</v>
      </c>
      <c r="AM53" s="95"/>
      <c r="AN53" s="96" t="s">
        <v>755</v>
      </c>
      <c r="AO53" s="84"/>
    </row>
    <row r="54" spans="1:41" s="85" customFormat="1" x14ac:dyDescent="0.25">
      <c r="A54" s="88" t="s">
        <v>261</v>
      </c>
      <c r="B54" s="88" t="s">
        <v>756</v>
      </c>
      <c r="C54" s="88" t="s">
        <v>42</v>
      </c>
      <c r="D54" s="88" t="s">
        <v>43</v>
      </c>
      <c r="E54" s="88" t="s">
        <v>351</v>
      </c>
      <c r="F54" s="88" t="s">
        <v>387</v>
      </c>
      <c r="G54" s="88">
        <v>2007</v>
      </c>
      <c r="H54" s="88" t="s">
        <v>333</v>
      </c>
      <c r="I54" s="88" t="s">
        <v>353</v>
      </c>
      <c r="J54" s="88" t="s">
        <v>351</v>
      </c>
      <c r="K54" s="92" t="s">
        <v>757</v>
      </c>
      <c r="L54" s="93"/>
      <c r="M54" s="94" t="s">
        <v>2248</v>
      </c>
      <c r="N54" s="88" t="s">
        <v>121</v>
      </c>
      <c r="O54" s="88" t="s">
        <v>104</v>
      </c>
      <c r="P54" s="88" t="s">
        <v>134</v>
      </c>
      <c r="Q54" s="88" t="s">
        <v>139</v>
      </c>
      <c r="R54" s="88" t="s">
        <v>138</v>
      </c>
      <c r="S54" s="88" t="s">
        <v>331</v>
      </c>
      <c r="T54" s="88" t="s">
        <v>331</v>
      </c>
      <c r="U54" s="88" t="s">
        <v>130</v>
      </c>
      <c r="V54" s="88" t="s">
        <v>331</v>
      </c>
      <c r="W54" s="88" t="s">
        <v>356</v>
      </c>
      <c r="X54" s="88" t="s">
        <v>130</v>
      </c>
      <c r="Y54" s="88" t="s">
        <v>339</v>
      </c>
      <c r="Z54" s="88" t="s">
        <v>339</v>
      </c>
      <c r="AA54" s="95"/>
      <c r="AB54" s="88" t="s">
        <v>353</v>
      </c>
      <c r="AC54" s="88" t="s">
        <v>758</v>
      </c>
      <c r="AD54" s="88" t="s">
        <v>529</v>
      </c>
      <c r="AE54" s="88" t="s">
        <v>359</v>
      </c>
      <c r="AF54" s="88" t="s">
        <v>130</v>
      </c>
      <c r="AG54" s="88" t="s">
        <v>361</v>
      </c>
      <c r="AH54" s="88" t="s">
        <v>375</v>
      </c>
      <c r="AI54" s="88" t="s">
        <v>346</v>
      </c>
      <c r="AJ54" s="95"/>
      <c r="AK54" s="88" t="s">
        <v>759</v>
      </c>
      <c r="AL54" s="88" t="s">
        <v>339</v>
      </c>
      <c r="AM54" s="95"/>
      <c r="AN54" s="88" t="s">
        <v>760</v>
      </c>
      <c r="AO54" s="84"/>
    </row>
    <row r="55" spans="1:41" s="85" customFormat="1" x14ac:dyDescent="0.25">
      <c r="A55" s="88" t="s">
        <v>261</v>
      </c>
      <c r="B55" s="88" t="s">
        <v>761</v>
      </c>
      <c r="C55" s="88" t="s">
        <v>42</v>
      </c>
      <c r="D55" s="88" t="s">
        <v>43</v>
      </c>
      <c r="E55" s="88" t="s">
        <v>351</v>
      </c>
      <c r="F55" s="88" t="s">
        <v>399</v>
      </c>
      <c r="G55" s="88">
        <v>2020</v>
      </c>
      <c r="H55" s="88" t="s">
        <v>333</v>
      </c>
      <c r="I55" s="88" t="s">
        <v>708</v>
      </c>
      <c r="J55" s="88" t="s">
        <v>335</v>
      </c>
      <c r="K55" s="92" t="s">
        <v>762</v>
      </c>
      <c r="L55" s="93"/>
      <c r="M55" s="94" t="s">
        <v>2272</v>
      </c>
      <c r="N55" s="88" t="s">
        <v>121</v>
      </c>
      <c r="O55" s="88" t="s">
        <v>104</v>
      </c>
      <c r="P55" s="88" t="s">
        <v>134</v>
      </c>
      <c r="Q55" s="88" t="s">
        <v>139</v>
      </c>
      <c r="R55" s="88" t="s">
        <v>138</v>
      </c>
      <c r="S55" s="88" t="s">
        <v>331</v>
      </c>
      <c r="T55" s="88" t="s">
        <v>351</v>
      </c>
      <c r="U55" s="88" t="s">
        <v>90</v>
      </c>
      <c r="V55" s="88" t="s">
        <v>351</v>
      </c>
      <c r="W55" s="88" t="s">
        <v>356</v>
      </c>
      <c r="X55" s="88" t="s">
        <v>130</v>
      </c>
      <c r="Y55" s="88" t="s">
        <v>339</v>
      </c>
      <c r="Z55" s="88" t="s">
        <v>339</v>
      </c>
      <c r="AA55" s="95"/>
      <c r="AB55" s="88" t="s">
        <v>763</v>
      </c>
      <c r="AC55" s="88" t="s">
        <v>764</v>
      </c>
      <c r="AD55" s="88" t="s">
        <v>765</v>
      </c>
      <c r="AE55" s="88" t="s">
        <v>448</v>
      </c>
      <c r="AF55" s="88" t="s">
        <v>130</v>
      </c>
      <c r="AG55" s="88" t="s">
        <v>361</v>
      </c>
      <c r="AH55" s="88" t="s">
        <v>375</v>
      </c>
      <c r="AI55" s="88" t="s">
        <v>346</v>
      </c>
      <c r="AJ55" s="95"/>
      <c r="AK55" s="88" t="s">
        <v>339</v>
      </c>
      <c r="AL55" s="88" t="s">
        <v>339</v>
      </c>
      <c r="AM55" s="95"/>
      <c r="AN55" s="96" t="s">
        <v>766</v>
      </c>
      <c r="AO55" s="84"/>
    </row>
    <row r="56" spans="1:41" s="85" customFormat="1" x14ac:dyDescent="0.25">
      <c r="A56" s="88" t="s">
        <v>262</v>
      </c>
      <c r="B56" s="88" t="s">
        <v>767</v>
      </c>
      <c r="C56" s="88" t="s">
        <v>24</v>
      </c>
      <c r="D56" s="88" t="s">
        <v>248</v>
      </c>
      <c r="E56" s="88" t="s">
        <v>351</v>
      </c>
      <c r="F56" s="88" t="s">
        <v>399</v>
      </c>
      <c r="G56" s="88">
        <v>2020</v>
      </c>
      <c r="H56" s="88" t="s">
        <v>333</v>
      </c>
      <c r="I56" s="88" t="s">
        <v>768</v>
      </c>
      <c r="J56" s="88" t="s">
        <v>335</v>
      </c>
      <c r="K56" s="92" t="s">
        <v>768</v>
      </c>
      <c r="L56" s="93"/>
      <c r="M56" s="94" t="s">
        <v>2272</v>
      </c>
      <c r="N56" s="88" t="s">
        <v>121</v>
      </c>
      <c r="O56" s="88" t="s">
        <v>92</v>
      </c>
      <c r="P56" s="88" t="s">
        <v>134</v>
      </c>
      <c r="Q56" s="88" t="s">
        <v>139</v>
      </c>
      <c r="R56" s="88" t="s">
        <v>138</v>
      </c>
      <c r="S56" s="88" t="s">
        <v>130</v>
      </c>
      <c r="T56" s="88" t="s">
        <v>351</v>
      </c>
      <c r="U56" s="88" t="s">
        <v>78</v>
      </c>
      <c r="V56" s="88" t="s">
        <v>331</v>
      </c>
      <c r="W56" s="88" t="s">
        <v>351</v>
      </c>
      <c r="X56" s="88" t="s">
        <v>131</v>
      </c>
      <c r="Y56" s="88" t="s">
        <v>339</v>
      </c>
      <c r="Z56" s="88" t="s">
        <v>339</v>
      </c>
      <c r="AA56" s="95"/>
      <c r="AB56" s="88" t="s">
        <v>769</v>
      </c>
      <c r="AC56" s="88" t="s">
        <v>770</v>
      </c>
      <c r="AD56" s="88" t="s">
        <v>529</v>
      </c>
      <c r="AE56" s="88" t="s">
        <v>448</v>
      </c>
      <c r="AF56" s="88" t="s">
        <v>677</v>
      </c>
      <c r="AG56" s="103" t="s">
        <v>771</v>
      </c>
      <c r="AH56" s="88" t="s">
        <v>772</v>
      </c>
      <c r="AI56" s="88" t="s">
        <v>346</v>
      </c>
      <c r="AJ56" s="95"/>
      <c r="AK56" s="88" t="s">
        <v>339</v>
      </c>
      <c r="AL56" s="88" t="s">
        <v>339</v>
      </c>
      <c r="AM56" s="95"/>
      <c r="AN56" s="96" t="s">
        <v>773</v>
      </c>
      <c r="AO56" s="84"/>
    </row>
    <row r="57" spans="1:41" s="85" customFormat="1" x14ac:dyDescent="0.25">
      <c r="A57" s="88" t="s">
        <v>262</v>
      </c>
      <c r="B57" s="88" t="s">
        <v>774</v>
      </c>
      <c r="C57" s="88" t="s">
        <v>24</v>
      </c>
      <c r="D57" s="88" t="s">
        <v>248</v>
      </c>
      <c r="E57" s="88" t="s">
        <v>351</v>
      </c>
      <c r="F57" s="88" t="s">
        <v>332</v>
      </c>
      <c r="G57" s="88">
        <v>2013</v>
      </c>
      <c r="H57" s="88" t="s">
        <v>333</v>
      </c>
      <c r="I57" s="88" t="s">
        <v>775</v>
      </c>
      <c r="J57" s="88" t="s">
        <v>331</v>
      </c>
      <c r="K57" s="92" t="s">
        <v>768</v>
      </c>
      <c r="L57" s="93"/>
      <c r="M57" s="94" t="s">
        <v>2272</v>
      </c>
      <c r="N57" s="88" t="s">
        <v>73</v>
      </c>
      <c r="O57" s="88" t="s">
        <v>336</v>
      </c>
      <c r="P57" s="88" t="s">
        <v>87</v>
      </c>
      <c r="Q57" s="88" t="s">
        <v>139</v>
      </c>
      <c r="R57" s="88" t="s">
        <v>77</v>
      </c>
      <c r="S57" s="88" t="s">
        <v>331</v>
      </c>
      <c r="T57" s="88" t="s">
        <v>331</v>
      </c>
      <c r="U57" s="88" t="s">
        <v>130</v>
      </c>
      <c r="V57" s="88" t="s">
        <v>331</v>
      </c>
      <c r="W57" s="88" t="s">
        <v>356</v>
      </c>
      <c r="X57" s="88" t="s">
        <v>130</v>
      </c>
      <c r="Y57" s="88" t="s">
        <v>339</v>
      </c>
      <c r="Z57" s="88" t="s">
        <v>339</v>
      </c>
      <c r="AA57" s="95"/>
      <c r="AB57" s="88" t="s">
        <v>776</v>
      </c>
      <c r="AC57" s="88" t="s">
        <v>777</v>
      </c>
      <c r="AD57" s="88" t="s">
        <v>529</v>
      </c>
      <c r="AE57" s="88" t="s">
        <v>448</v>
      </c>
      <c r="AF57" s="88" t="s">
        <v>130</v>
      </c>
      <c r="AG57" s="103" t="s">
        <v>361</v>
      </c>
      <c r="AH57" s="88" t="s">
        <v>778</v>
      </c>
      <c r="AI57" s="88" t="s">
        <v>346</v>
      </c>
      <c r="AJ57" s="95"/>
      <c r="AK57" s="88" t="s">
        <v>339</v>
      </c>
      <c r="AL57" s="88" t="s">
        <v>339</v>
      </c>
      <c r="AM57" s="95"/>
      <c r="AN57" s="96" t="s">
        <v>779</v>
      </c>
      <c r="AO57" s="84"/>
    </row>
    <row r="58" spans="1:41" s="85" customFormat="1" x14ac:dyDescent="0.25">
      <c r="A58" s="88" t="s">
        <v>262</v>
      </c>
      <c r="B58" s="88" t="s">
        <v>780</v>
      </c>
      <c r="C58" s="88" t="s">
        <v>24</v>
      </c>
      <c r="D58" s="88" t="s">
        <v>248</v>
      </c>
      <c r="E58" s="88" t="s">
        <v>351</v>
      </c>
      <c r="F58" s="88" t="s">
        <v>781</v>
      </c>
      <c r="G58" s="88">
        <v>2019</v>
      </c>
      <c r="H58" s="88" t="s">
        <v>333</v>
      </c>
      <c r="I58" s="88" t="s">
        <v>782</v>
      </c>
      <c r="J58" s="88" t="s">
        <v>351</v>
      </c>
      <c r="K58" s="92" t="s">
        <v>768</v>
      </c>
      <c r="L58" s="93"/>
      <c r="M58" s="94" t="s">
        <v>2272</v>
      </c>
      <c r="N58" s="88" t="s">
        <v>121</v>
      </c>
      <c r="O58" s="88" t="s">
        <v>116</v>
      </c>
      <c r="P58" s="88" t="s">
        <v>134</v>
      </c>
      <c r="Q58" s="88" t="s">
        <v>139</v>
      </c>
      <c r="R58" s="88" t="s">
        <v>138</v>
      </c>
      <c r="S58" s="88" t="s">
        <v>331</v>
      </c>
      <c r="T58" s="88" t="s">
        <v>331</v>
      </c>
      <c r="U58" s="88" t="s">
        <v>130</v>
      </c>
      <c r="V58" s="88" t="s">
        <v>331</v>
      </c>
      <c r="W58" s="88" t="s">
        <v>356</v>
      </c>
      <c r="X58" s="88" t="s">
        <v>130</v>
      </c>
      <c r="Y58" s="88" t="s">
        <v>339</v>
      </c>
      <c r="Z58" s="88" t="s">
        <v>339</v>
      </c>
      <c r="AA58" s="95"/>
      <c r="AB58" s="88" t="s">
        <v>783</v>
      </c>
      <c r="AC58" s="88" t="s">
        <v>784</v>
      </c>
      <c r="AD58" s="88" t="s">
        <v>529</v>
      </c>
      <c r="AE58" s="88" t="s">
        <v>448</v>
      </c>
      <c r="AF58" s="88" t="s">
        <v>130</v>
      </c>
      <c r="AG58" s="103" t="s">
        <v>353</v>
      </c>
      <c r="AH58" s="88" t="s">
        <v>778</v>
      </c>
      <c r="AI58" s="88" t="s">
        <v>346</v>
      </c>
      <c r="AJ58" s="95"/>
      <c r="AK58" s="88" t="s">
        <v>339</v>
      </c>
      <c r="AL58" s="88" t="s">
        <v>339</v>
      </c>
      <c r="AM58" s="95"/>
      <c r="AN58" s="96" t="s">
        <v>785</v>
      </c>
      <c r="AO58" s="84"/>
    </row>
    <row r="59" spans="1:41" s="85" customFormat="1" ht="26.25" x14ac:dyDescent="0.25">
      <c r="A59" s="88" t="s">
        <v>263</v>
      </c>
      <c r="B59" s="116" t="s">
        <v>786</v>
      </c>
      <c r="C59" s="88" t="s">
        <v>252</v>
      </c>
      <c r="D59" s="88" t="s">
        <v>250</v>
      </c>
      <c r="E59" s="88" t="s">
        <v>331</v>
      </c>
      <c r="F59" s="88" t="s">
        <v>387</v>
      </c>
      <c r="G59" s="88">
        <v>1996</v>
      </c>
      <c r="H59" s="88" t="s">
        <v>333</v>
      </c>
      <c r="I59" s="88" t="s">
        <v>787</v>
      </c>
      <c r="J59" s="88" t="s">
        <v>351</v>
      </c>
      <c r="K59" s="92" t="s">
        <v>788</v>
      </c>
      <c r="L59" s="93"/>
      <c r="M59" s="119" t="s">
        <v>2272</v>
      </c>
      <c r="N59" s="88" t="s">
        <v>79</v>
      </c>
      <c r="O59" s="88" t="s">
        <v>353</v>
      </c>
      <c r="P59" s="88" t="s">
        <v>789</v>
      </c>
      <c r="Q59" s="88" t="s">
        <v>76</v>
      </c>
      <c r="R59" s="88" t="s">
        <v>95</v>
      </c>
      <c r="S59" s="88" t="s">
        <v>331</v>
      </c>
      <c r="T59" s="88" t="s">
        <v>331</v>
      </c>
      <c r="U59" s="88" t="s">
        <v>130</v>
      </c>
      <c r="V59" s="88" t="s">
        <v>339</v>
      </c>
      <c r="W59" s="88" t="s">
        <v>529</v>
      </c>
      <c r="X59" s="88" t="s">
        <v>130</v>
      </c>
      <c r="Y59" s="88" t="s">
        <v>339</v>
      </c>
      <c r="Z59" s="88" t="s">
        <v>339</v>
      </c>
      <c r="AA59" s="95"/>
      <c r="AB59" s="88" t="s">
        <v>790</v>
      </c>
      <c r="AC59" s="97" t="s">
        <v>791</v>
      </c>
      <c r="AD59" s="88" t="s">
        <v>342</v>
      </c>
      <c r="AE59" s="88" t="s">
        <v>394</v>
      </c>
      <c r="AF59" s="88" t="s">
        <v>130</v>
      </c>
      <c r="AG59" s="88" t="s">
        <v>361</v>
      </c>
      <c r="AH59" s="88" t="s">
        <v>375</v>
      </c>
      <c r="AI59" s="88" t="s">
        <v>346</v>
      </c>
      <c r="AJ59" s="95"/>
      <c r="AK59" s="88" t="s">
        <v>792</v>
      </c>
      <c r="AL59" s="88" t="s">
        <v>793</v>
      </c>
      <c r="AM59" s="95"/>
      <c r="AN59" s="96" t="s">
        <v>794</v>
      </c>
      <c r="AO59" s="84"/>
    </row>
    <row r="60" spans="1:41" s="85" customFormat="1" x14ac:dyDescent="0.25">
      <c r="A60" s="88" t="s">
        <v>264</v>
      </c>
      <c r="B60" s="88" t="s">
        <v>795</v>
      </c>
      <c r="C60" s="88" t="s">
        <v>30</v>
      </c>
      <c r="D60" s="88" t="s">
        <v>43</v>
      </c>
      <c r="E60" s="88" t="s">
        <v>351</v>
      </c>
      <c r="F60" s="88" t="s">
        <v>332</v>
      </c>
      <c r="G60" s="88" t="s">
        <v>796</v>
      </c>
      <c r="H60" s="88" t="s">
        <v>333</v>
      </c>
      <c r="I60" s="88" t="s">
        <v>797</v>
      </c>
      <c r="J60" s="88" t="s">
        <v>335</v>
      </c>
      <c r="K60" s="92" t="s">
        <v>798</v>
      </c>
      <c r="L60" s="93"/>
      <c r="M60" s="94" t="s">
        <v>2252</v>
      </c>
      <c r="N60" s="88" t="s">
        <v>476</v>
      </c>
      <c r="O60" s="88" t="s">
        <v>799</v>
      </c>
      <c r="P60" s="88" t="s">
        <v>800</v>
      </c>
      <c r="Q60" s="88" t="s">
        <v>139</v>
      </c>
      <c r="R60" s="88" t="s">
        <v>138</v>
      </c>
      <c r="S60" s="88" t="s">
        <v>130</v>
      </c>
      <c r="T60" s="88" t="s">
        <v>331</v>
      </c>
      <c r="U60" s="88" t="s">
        <v>130</v>
      </c>
      <c r="V60" s="88" t="s">
        <v>351</v>
      </c>
      <c r="W60" s="88" t="s">
        <v>339</v>
      </c>
      <c r="X60" s="88" t="s">
        <v>130</v>
      </c>
      <c r="Y60" s="88" t="s">
        <v>351</v>
      </c>
      <c r="Z60" s="88" t="s">
        <v>380</v>
      </c>
      <c r="AA60" s="95"/>
      <c r="AB60" s="88" t="s">
        <v>801</v>
      </c>
      <c r="AC60" s="88" t="s">
        <v>802</v>
      </c>
      <c r="AD60" s="88" t="s">
        <v>803</v>
      </c>
      <c r="AE60" s="88" t="s">
        <v>448</v>
      </c>
      <c r="AF60" s="88" t="s">
        <v>677</v>
      </c>
      <c r="AG60" s="88" t="s">
        <v>804</v>
      </c>
      <c r="AH60" s="88" t="s">
        <v>805</v>
      </c>
      <c r="AI60" s="88" t="s">
        <v>346</v>
      </c>
      <c r="AJ60" s="95"/>
      <c r="AK60" s="88" t="s">
        <v>339</v>
      </c>
      <c r="AL60" s="88" t="s">
        <v>339</v>
      </c>
      <c r="AM60" s="95"/>
      <c r="AN60" s="96" t="s">
        <v>806</v>
      </c>
      <c r="AO60" s="84"/>
    </row>
    <row r="61" spans="1:41" s="85" customFormat="1" x14ac:dyDescent="0.25">
      <c r="A61" s="88" t="s">
        <v>264</v>
      </c>
      <c r="B61" s="88" t="s">
        <v>807</v>
      </c>
      <c r="C61" s="88" t="s">
        <v>30</v>
      </c>
      <c r="D61" s="88" t="s">
        <v>43</v>
      </c>
      <c r="E61" s="88" t="s">
        <v>351</v>
      </c>
      <c r="F61" s="88" t="s">
        <v>332</v>
      </c>
      <c r="G61" s="88">
        <v>2009</v>
      </c>
      <c r="H61" s="88" t="s">
        <v>333</v>
      </c>
      <c r="I61" s="88" t="s">
        <v>808</v>
      </c>
      <c r="J61" s="88" t="s">
        <v>335</v>
      </c>
      <c r="K61" s="92" t="s">
        <v>809</v>
      </c>
      <c r="L61" s="93"/>
      <c r="M61" s="94" t="s">
        <v>2248</v>
      </c>
      <c r="N61" s="88" t="s">
        <v>810</v>
      </c>
      <c r="O61" s="88" t="s">
        <v>98</v>
      </c>
      <c r="P61" s="88" t="s">
        <v>81</v>
      </c>
      <c r="Q61" s="88" t="s">
        <v>139</v>
      </c>
      <c r="R61" s="88" t="s">
        <v>138</v>
      </c>
      <c r="S61" s="88" t="s">
        <v>331</v>
      </c>
      <c r="T61" s="88" t="s">
        <v>331</v>
      </c>
      <c r="U61" s="88" t="s">
        <v>130</v>
      </c>
      <c r="V61" s="88" t="s">
        <v>339</v>
      </c>
      <c r="W61" s="88" t="s">
        <v>351</v>
      </c>
      <c r="X61" s="88" t="s">
        <v>490</v>
      </c>
      <c r="Y61" s="88" t="s">
        <v>339</v>
      </c>
      <c r="Z61" s="88" t="s">
        <v>339</v>
      </c>
      <c r="AA61" s="95"/>
      <c r="AB61" s="88" t="s">
        <v>811</v>
      </c>
      <c r="AC61" s="88" t="s">
        <v>812</v>
      </c>
      <c r="AD61" s="88" t="s">
        <v>342</v>
      </c>
      <c r="AE61" s="88" t="s">
        <v>394</v>
      </c>
      <c r="AF61" s="88" t="s">
        <v>130</v>
      </c>
      <c r="AG61" s="88" t="s">
        <v>813</v>
      </c>
      <c r="AH61" s="88" t="s">
        <v>814</v>
      </c>
      <c r="AI61" s="88" t="s">
        <v>346</v>
      </c>
      <c r="AJ61" s="95"/>
      <c r="AK61" s="88" t="s">
        <v>815</v>
      </c>
      <c r="AL61" s="88" t="s">
        <v>816</v>
      </c>
      <c r="AM61" s="95"/>
      <c r="AN61" s="96" t="s">
        <v>817</v>
      </c>
      <c r="AO61" s="84"/>
    </row>
    <row r="62" spans="1:41" s="85" customFormat="1" x14ac:dyDescent="0.25">
      <c r="A62" s="88" t="s">
        <v>264</v>
      </c>
      <c r="B62" s="88" t="s">
        <v>818</v>
      </c>
      <c r="C62" s="88" t="s">
        <v>30</v>
      </c>
      <c r="D62" s="88" t="s">
        <v>43</v>
      </c>
      <c r="E62" s="88" t="s">
        <v>351</v>
      </c>
      <c r="F62" s="88" t="s">
        <v>332</v>
      </c>
      <c r="G62" s="101" t="s">
        <v>819</v>
      </c>
      <c r="H62" s="88" t="s">
        <v>333</v>
      </c>
      <c r="I62" s="88" t="s">
        <v>820</v>
      </c>
      <c r="J62" s="88" t="s">
        <v>335</v>
      </c>
      <c r="K62" s="92" t="s">
        <v>821</v>
      </c>
      <c r="L62" s="93"/>
      <c r="M62" s="94" t="s">
        <v>2270</v>
      </c>
      <c r="N62" s="88" t="s">
        <v>822</v>
      </c>
      <c r="O62" s="88" t="s">
        <v>823</v>
      </c>
      <c r="P62" s="88" t="s">
        <v>134</v>
      </c>
      <c r="Q62" s="88" t="s">
        <v>824</v>
      </c>
      <c r="R62" s="88" t="s">
        <v>138</v>
      </c>
      <c r="S62" s="88" t="s">
        <v>331</v>
      </c>
      <c r="T62" s="88" t="s">
        <v>351</v>
      </c>
      <c r="U62" s="88" t="s">
        <v>84</v>
      </c>
      <c r="V62" s="88" t="s">
        <v>339</v>
      </c>
      <c r="W62" s="88" t="s">
        <v>339</v>
      </c>
      <c r="X62" s="88" t="s">
        <v>130</v>
      </c>
      <c r="Y62" s="88" t="s">
        <v>339</v>
      </c>
      <c r="Z62" s="88" t="s">
        <v>380</v>
      </c>
      <c r="AA62" s="95"/>
      <c r="AB62" s="88" t="s">
        <v>825</v>
      </c>
      <c r="AC62" s="88" t="s">
        <v>826</v>
      </c>
      <c r="AD62" s="88" t="s">
        <v>827</v>
      </c>
      <c r="AE62" s="88" t="s">
        <v>359</v>
      </c>
      <c r="AF62" s="88" t="s">
        <v>828</v>
      </c>
      <c r="AG62" s="88" t="s">
        <v>361</v>
      </c>
      <c r="AH62" s="88" t="s">
        <v>829</v>
      </c>
      <c r="AI62" s="88" t="s">
        <v>830</v>
      </c>
      <c r="AJ62" s="95"/>
      <c r="AK62" s="88" t="s">
        <v>339</v>
      </c>
      <c r="AL62" s="88" t="s">
        <v>339</v>
      </c>
      <c r="AM62" s="95"/>
      <c r="AN62" s="96" t="s">
        <v>831</v>
      </c>
      <c r="AO62" s="84"/>
    </row>
    <row r="63" spans="1:41" s="85" customFormat="1" x14ac:dyDescent="0.25">
      <c r="A63" s="88" t="s">
        <v>264</v>
      </c>
      <c r="B63" s="88" t="s">
        <v>832</v>
      </c>
      <c r="C63" s="88" t="s">
        <v>30</v>
      </c>
      <c r="D63" s="88" t="s">
        <v>43</v>
      </c>
      <c r="E63" s="88" t="s">
        <v>351</v>
      </c>
      <c r="F63" s="88" t="s">
        <v>332</v>
      </c>
      <c r="G63" s="101" t="s">
        <v>819</v>
      </c>
      <c r="H63" s="88" t="s">
        <v>333</v>
      </c>
      <c r="I63" s="88" t="s">
        <v>797</v>
      </c>
      <c r="J63" s="88" t="s">
        <v>335</v>
      </c>
      <c r="K63" s="92" t="s">
        <v>797</v>
      </c>
      <c r="L63" s="93"/>
      <c r="M63" s="94" t="s">
        <v>2272</v>
      </c>
      <c r="N63" s="88" t="s">
        <v>103</v>
      </c>
      <c r="O63" s="88" t="s">
        <v>336</v>
      </c>
      <c r="P63" s="88" t="s">
        <v>81</v>
      </c>
      <c r="Q63" s="88" t="s">
        <v>139</v>
      </c>
      <c r="R63" s="88" t="s">
        <v>138</v>
      </c>
      <c r="S63" s="88" t="s">
        <v>833</v>
      </c>
      <c r="T63" s="88" t="s">
        <v>351</v>
      </c>
      <c r="U63" s="88" t="s">
        <v>84</v>
      </c>
      <c r="V63" s="88" t="s">
        <v>339</v>
      </c>
      <c r="W63" s="88" t="s">
        <v>339</v>
      </c>
      <c r="X63" s="88" t="s">
        <v>130</v>
      </c>
      <c r="Y63" s="88" t="s">
        <v>339</v>
      </c>
      <c r="Z63" s="88" t="s">
        <v>339</v>
      </c>
      <c r="AA63" s="95"/>
      <c r="AB63" s="88" t="s">
        <v>834</v>
      </c>
      <c r="AC63" s="88" t="s">
        <v>835</v>
      </c>
      <c r="AD63" s="88" t="s">
        <v>342</v>
      </c>
      <c r="AE63" s="88" t="s">
        <v>359</v>
      </c>
      <c r="AF63" s="88" t="s">
        <v>130</v>
      </c>
      <c r="AG63" s="88" t="s">
        <v>361</v>
      </c>
      <c r="AH63" s="88" t="s">
        <v>375</v>
      </c>
      <c r="AI63" s="88" t="s">
        <v>346</v>
      </c>
      <c r="AJ63" s="95"/>
      <c r="AK63" s="88" t="s">
        <v>339</v>
      </c>
      <c r="AL63" s="88" t="s">
        <v>339</v>
      </c>
      <c r="AM63" s="95"/>
      <c r="AN63" s="96" t="s">
        <v>836</v>
      </c>
      <c r="AO63" s="84"/>
    </row>
    <row r="64" spans="1:41" s="85" customFormat="1" x14ac:dyDescent="0.25">
      <c r="A64" s="88" t="s">
        <v>264</v>
      </c>
      <c r="B64" s="88" t="s">
        <v>837</v>
      </c>
      <c r="C64" s="88" t="s">
        <v>30</v>
      </c>
      <c r="D64" s="88" t="s">
        <v>43</v>
      </c>
      <c r="E64" s="88" t="s">
        <v>351</v>
      </c>
      <c r="F64" s="88" t="s">
        <v>387</v>
      </c>
      <c r="G64" s="88">
        <v>2020</v>
      </c>
      <c r="H64" s="88" t="s">
        <v>333</v>
      </c>
      <c r="I64" s="88" t="s">
        <v>838</v>
      </c>
      <c r="J64" s="88" t="s">
        <v>335</v>
      </c>
      <c r="K64" s="92" t="s">
        <v>839</v>
      </c>
      <c r="L64" s="93"/>
      <c r="M64" s="94" t="s">
        <v>2272</v>
      </c>
      <c r="N64" s="88" t="s">
        <v>109</v>
      </c>
      <c r="O64" s="88" t="s">
        <v>336</v>
      </c>
      <c r="P64" s="88" t="s">
        <v>134</v>
      </c>
      <c r="Q64" s="88" t="s">
        <v>139</v>
      </c>
      <c r="R64" s="88" t="s">
        <v>138</v>
      </c>
      <c r="S64" s="88" t="s">
        <v>335</v>
      </c>
      <c r="T64" s="88" t="s">
        <v>351</v>
      </c>
      <c r="U64" s="88" t="s">
        <v>78</v>
      </c>
      <c r="V64" s="88" t="s">
        <v>331</v>
      </c>
      <c r="W64" s="88" t="s">
        <v>351</v>
      </c>
      <c r="X64" s="88" t="s">
        <v>425</v>
      </c>
      <c r="Y64" s="88" t="s">
        <v>339</v>
      </c>
      <c r="Z64" s="88" t="s">
        <v>339</v>
      </c>
      <c r="AA64" s="95"/>
      <c r="AB64" s="88" t="s">
        <v>840</v>
      </c>
      <c r="AC64" s="88" t="s">
        <v>841</v>
      </c>
      <c r="AD64" s="88" t="s">
        <v>529</v>
      </c>
      <c r="AE64" s="88" t="s">
        <v>359</v>
      </c>
      <c r="AF64" s="88" t="s">
        <v>130</v>
      </c>
      <c r="AG64" s="103" t="s">
        <v>842</v>
      </c>
      <c r="AH64" s="88" t="s">
        <v>375</v>
      </c>
      <c r="AI64" s="88" t="s">
        <v>346</v>
      </c>
      <c r="AJ64" s="95"/>
      <c r="AK64" s="88" t="s">
        <v>339</v>
      </c>
      <c r="AL64" s="88" t="s">
        <v>339</v>
      </c>
      <c r="AM64" s="95"/>
      <c r="AN64" s="96" t="s">
        <v>843</v>
      </c>
      <c r="AO64" s="84"/>
    </row>
    <row r="65" spans="1:41" s="85" customFormat="1" x14ac:dyDescent="0.25">
      <c r="A65" s="88" t="s">
        <v>265</v>
      </c>
      <c r="B65" s="88" t="s">
        <v>844</v>
      </c>
      <c r="C65" s="88" t="s">
        <v>252</v>
      </c>
      <c r="D65" s="88" t="s">
        <v>250</v>
      </c>
      <c r="E65" s="88" t="s">
        <v>351</v>
      </c>
      <c r="F65" s="88" t="s">
        <v>332</v>
      </c>
      <c r="G65" s="88" t="s">
        <v>416</v>
      </c>
      <c r="H65" s="88" t="s">
        <v>333</v>
      </c>
      <c r="I65" s="88" t="s">
        <v>845</v>
      </c>
      <c r="J65" s="88" t="s">
        <v>335</v>
      </c>
      <c r="K65" s="92" t="s">
        <v>845</v>
      </c>
      <c r="L65" s="93"/>
      <c r="M65" s="119" t="s">
        <v>2252</v>
      </c>
      <c r="N65" s="88" t="s">
        <v>810</v>
      </c>
      <c r="O65" s="88" t="s">
        <v>98</v>
      </c>
      <c r="P65" s="88" t="s">
        <v>134</v>
      </c>
      <c r="Q65" s="88" t="s">
        <v>846</v>
      </c>
      <c r="R65" s="88" t="s">
        <v>83</v>
      </c>
      <c r="S65" s="88" t="s">
        <v>2254</v>
      </c>
      <c r="T65" s="88" t="s">
        <v>331</v>
      </c>
      <c r="U65" s="88" t="s">
        <v>130</v>
      </c>
      <c r="V65" s="88" t="s">
        <v>331</v>
      </c>
      <c r="W65" s="88" t="s">
        <v>351</v>
      </c>
      <c r="X65" s="88" t="s">
        <v>490</v>
      </c>
      <c r="Y65" s="88" t="s">
        <v>351</v>
      </c>
      <c r="Z65" s="88" t="s">
        <v>339</v>
      </c>
      <c r="AA65" s="95"/>
      <c r="AB65" s="88" t="s">
        <v>847</v>
      </c>
      <c r="AC65" s="88" t="s">
        <v>848</v>
      </c>
      <c r="AD65" s="88" t="s">
        <v>342</v>
      </c>
      <c r="AE65" s="88" t="s">
        <v>448</v>
      </c>
      <c r="AF65" s="88" t="s">
        <v>130</v>
      </c>
      <c r="AG65" s="88" t="s">
        <v>849</v>
      </c>
      <c r="AH65" s="88" t="s">
        <v>375</v>
      </c>
      <c r="AI65" s="88" t="s">
        <v>346</v>
      </c>
      <c r="AJ65" s="95"/>
      <c r="AK65" s="88" t="s">
        <v>339</v>
      </c>
      <c r="AL65" s="88" t="s">
        <v>339</v>
      </c>
      <c r="AM65" s="95"/>
      <c r="AN65" s="96" t="s">
        <v>850</v>
      </c>
      <c r="AO65" s="84"/>
    </row>
    <row r="66" spans="1:41" s="85" customFormat="1" x14ac:dyDescent="0.25">
      <c r="A66" s="88" t="s">
        <v>265</v>
      </c>
      <c r="B66" s="88" t="s">
        <v>851</v>
      </c>
      <c r="C66" s="88" t="s">
        <v>252</v>
      </c>
      <c r="D66" s="88" t="s">
        <v>250</v>
      </c>
      <c r="E66" s="88" t="s">
        <v>351</v>
      </c>
      <c r="F66" s="88" t="s">
        <v>332</v>
      </c>
      <c r="G66" s="100" t="s">
        <v>852</v>
      </c>
      <c r="H66" s="100" t="s">
        <v>853</v>
      </c>
      <c r="I66" s="88" t="s">
        <v>353</v>
      </c>
      <c r="J66" s="88" t="s">
        <v>351</v>
      </c>
      <c r="K66" s="92" t="s">
        <v>854</v>
      </c>
      <c r="L66" s="93"/>
      <c r="M66" s="119" t="s">
        <v>2272</v>
      </c>
      <c r="N66" s="88" t="s">
        <v>855</v>
      </c>
      <c r="O66" s="88" t="s">
        <v>86</v>
      </c>
      <c r="P66" s="88" t="s">
        <v>134</v>
      </c>
      <c r="Q66" s="88" t="s">
        <v>139</v>
      </c>
      <c r="R66" s="88" t="s">
        <v>77</v>
      </c>
      <c r="S66" s="88" t="s">
        <v>331</v>
      </c>
      <c r="T66" s="88" t="s">
        <v>331</v>
      </c>
      <c r="U66" s="88" t="s">
        <v>130</v>
      </c>
      <c r="V66" s="88" t="s">
        <v>351</v>
      </c>
      <c r="W66" s="88" t="s">
        <v>356</v>
      </c>
      <c r="X66" s="88" t="s">
        <v>130</v>
      </c>
      <c r="Y66" s="88" t="s">
        <v>351</v>
      </c>
      <c r="Z66" s="88" t="s">
        <v>339</v>
      </c>
      <c r="AA66" s="95"/>
      <c r="AB66" s="88" t="s">
        <v>856</v>
      </c>
      <c r="AC66" s="88" t="s">
        <v>857</v>
      </c>
      <c r="AD66" s="88" t="s">
        <v>858</v>
      </c>
      <c r="AE66" s="88" t="s">
        <v>751</v>
      </c>
      <c r="AF66" s="88" t="s">
        <v>130</v>
      </c>
      <c r="AG66" s="88" t="s">
        <v>361</v>
      </c>
      <c r="AH66" s="88" t="s">
        <v>375</v>
      </c>
      <c r="AI66" s="88" t="s">
        <v>346</v>
      </c>
      <c r="AJ66" s="95"/>
      <c r="AK66" s="88" t="s">
        <v>859</v>
      </c>
      <c r="AL66" s="88" t="s">
        <v>860</v>
      </c>
      <c r="AM66" s="95"/>
      <c r="AN66" s="96" t="s">
        <v>861</v>
      </c>
      <c r="AO66" s="84"/>
    </row>
    <row r="67" spans="1:41" s="85" customFormat="1" x14ac:dyDescent="0.25">
      <c r="A67" s="88" t="s">
        <v>265</v>
      </c>
      <c r="B67" s="88" t="s">
        <v>862</v>
      </c>
      <c r="C67" s="88" t="s">
        <v>252</v>
      </c>
      <c r="D67" s="88" t="s">
        <v>250</v>
      </c>
      <c r="E67" s="88" t="s">
        <v>351</v>
      </c>
      <c r="F67" s="88" t="s">
        <v>332</v>
      </c>
      <c r="G67" s="100" t="s">
        <v>863</v>
      </c>
      <c r="H67" s="98" t="s">
        <v>333</v>
      </c>
      <c r="I67" s="88" t="s">
        <v>353</v>
      </c>
      <c r="J67" s="88" t="s">
        <v>351</v>
      </c>
      <c r="K67" s="92" t="s">
        <v>864</v>
      </c>
      <c r="L67" s="93"/>
      <c r="M67" s="94" t="s">
        <v>2248</v>
      </c>
      <c r="N67" s="88" t="s">
        <v>103</v>
      </c>
      <c r="O67" s="88" t="s">
        <v>336</v>
      </c>
      <c r="P67" s="88" t="s">
        <v>134</v>
      </c>
      <c r="Q67" s="88" t="s">
        <v>865</v>
      </c>
      <c r="R67" s="88" t="s">
        <v>138</v>
      </c>
      <c r="S67" s="88" t="s">
        <v>331</v>
      </c>
      <c r="T67" s="88" t="s">
        <v>331</v>
      </c>
      <c r="U67" s="88" t="s">
        <v>130</v>
      </c>
      <c r="V67" s="88" t="s">
        <v>331</v>
      </c>
      <c r="W67" s="88" t="s">
        <v>356</v>
      </c>
      <c r="X67" s="88" t="s">
        <v>130</v>
      </c>
      <c r="Y67" s="88" t="s">
        <v>339</v>
      </c>
      <c r="Z67" s="88" t="s">
        <v>339</v>
      </c>
      <c r="AA67" s="95"/>
      <c r="AB67" s="88" t="s">
        <v>866</v>
      </c>
      <c r="AC67" s="88" t="s">
        <v>867</v>
      </c>
      <c r="AD67" s="88" t="s">
        <v>342</v>
      </c>
      <c r="AE67" s="88" t="s">
        <v>359</v>
      </c>
      <c r="AF67" s="88" t="s">
        <v>130</v>
      </c>
      <c r="AG67" s="88" t="s">
        <v>361</v>
      </c>
      <c r="AH67" s="88" t="s">
        <v>375</v>
      </c>
      <c r="AI67" s="88" t="s">
        <v>346</v>
      </c>
      <c r="AJ67" s="95"/>
      <c r="AK67" s="88" t="s">
        <v>339</v>
      </c>
      <c r="AL67" s="88" t="s">
        <v>339</v>
      </c>
      <c r="AM67" s="95"/>
      <c r="AN67" s="96" t="s">
        <v>868</v>
      </c>
      <c r="AO67" s="84"/>
    </row>
    <row r="68" spans="1:41" s="85" customFormat="1" x14ac:dyDescent="0.25">
      <c r="A68" s="88" t="s">
        <v>265</v>
      </c>
      <c r="B68" s="88" t="s">
        <v>869</v>
      </c>
      <c r="C68" s="88" t="s">
        <v>252</v>
      </c>
      <c r="D68" s="88" t="s">
        <v>250</v>
      </c>
      <c r="E68" s="88" t="s">
        <v>351</v>
      </c>
      <c r="F68" s="88" t="s">
        <v>332</v>
      </c>
      <c r="G68" s="98" t="s">
        <v>416</v>
      </c>
      <c r="H68" s="98" t="s">
        <v>333</v>
      </c>
      <c r="I68" s="88" t="s">
        <v>870</v>
      </c>
      <c r="J68" s="88" t="s">
        <v>351</v>
      </c>
      <c r="K68" s="92" t="s">
        <v>407</v>
      </c>
      <c r="L68" s="93"/>
      <c r="M68" s="94" t="s">
        <v>2248</v>
      </c>
      <c r="N68" s="88" t="s">
        <v>79</v>
      </c>
      <c r="O68" s="88" t="s">
        <v>336</v>
      </c>
      <c r="P68" s="88" t="s">
        <v>871</v>
      </c>
      <c r="Q68" s="88" t="s">
        <v>139</v>
      </c>
      <c r="R68" s="88" t="s">
        <v>138</v>
      </c>
      <c r="S68" s="88" t="s">
        <v>331</v>
      </c>
      <c r="T68" s="88" t="s">
        <v>331</v>
      </c>
      <c r="U68" s="88" t="s">
        <v>130</v>
      </c>
      <c r="V68" s="88" t="s">
        <v>331</v>
      </c>
      <c r="W68" s="88" t="s">
        <v>356</v>
      </c>
      <c r="X68" s="88" t="s">
        <v>130</v>
      </c>
      <c r="Y68" s="88" t="s">
        <v>339</v>
      </c>
      <c r="Z68" s="88" t="s">
        <v>339</v>
      </c>
      <c r="AA68" s="95"/>
      <c r="AB68" s="88" t="s">
        <v>872</v>
      </c>
      <c r="AC68" s="88" t="s">
        <v>873</v>
      </c>
      <c r="AD68" s="88" t="s">
        <v>342</v>
      </c>
      <c r="AE68" s="88" t="s">
        <v>359</v>
      </c>
      <c r="AF68" s="88" t="s">
        <v>130</v>
      </c>
      <c r="AG68" s="88" t="s">
        <v>361</v>
      </c>
      <c r="AH68" s="88" t="s">
        <v>375</v>
      </c>
      <c r="AI68" s="88" t="s">
        <v>346</v>
      </c>
      <c r="AJ68" s="95"/>
      <c r="AK68" s="88" t="s">
        <v>529</v>
      </c>
      <c r="AL68" s="88" t="s">
        <v>529</v>
      </c>
      <c r="AM68" s="95"/>
      <c r="AN68" s="96" t="s">
        <v>874</v>
      </c>
      <c r="AO68" s="84"/>
    </row>
    <row r="69" spans="1:41" s="85" customFormat="1" x14ac:dyDescent="0.25">
      <c r="A69" s="88" t="s">
        <v>265</v>
      </c>
      <c r="B69" s="88" t="s">
        <v>875</v>
      </c>
      <c r="C69" s="88" t="s">
        <v>252</v>
      </c>
      <c r="D69" s="88" t="s">
        <v>250</v>
      </c>
      <c r="E69" s="88" t="s">
        <v>351</v>
      </c>
      <c r="F69" s="88" t="s">
        <v>332</v>
      </c>
      <c r="G69" s="88">
        <v>2013</v>
      </c>
      <c r="H69" s="100" t="s">
        <v>876</v>
      </c>
      <c r="I69" s="88" t="s">
        <v>877</v>
      </c>
      <c r="J69" s="88" t="s">
        <v>351</v>
      </c>
      <c r="K69" s="92" t="s">
        <v>878</v>
      </c>
      <c r="L69" s="93"/>
      <c r="M69" s="94" t="s">
        <v>2272</v>
      </c>
      <c r="N69" s="88" t="s">
        <v>355</v>
      </c>
      <c r="O69" s="88" t="s">
        <v>98</v>
      </c>
      <c r="P69" s="88" t="s">
        <v>75</v>
      </c>
      <c r="Q69" s="88" t="s">
        <v>139</v>
      </c>
      <c r="R69" s="88" t="s">
        <v>83</v>
      </c>
      <c r="S69" s="88" t="s">
        <v>331</v>
      </c>
      <c r="T69" s="88" t="s">
        <v>331</v>
      </c>
      <c r="U69" s="88" t="s">
        <v>130</v>
      </c>
      <c r="V69" s="88" t="s">
        <v>331</v>
      </c>
      <c r="W69" s="88" t="s">
        <v>356</v>
      </c>
      <c r="X69" s="88" t="s">
        <v>130</v>
      </c>
      <c r="Y69" s="88" t="s">
        <v>331</v>
      </c>
      <c r="Z69" s="88" t="s">
        <v>339</v>
      </c>
      <c r="AA69" s="95"/>
      <c r="AB69" s="88" t="s">
        <v>879</v>
      </c>
      <c r="AC69" s="88" t="s">
        <v>880</v>
      </c>
      <c r="AD69" s="88" t="s">
        <v>342</v>
      </c>
      <c r="AE69" s="88" t="s">
        <v>751</v>
      </c>
      <c r="AF69" s="88" t="s">
        <v>130</v>
      </c>
      <c r="AG69" s="88" t="s">
        <v>361</v>
      </c>
      <c r="AH69" s="88" t="s">
        <v>375</v>
      </c>
      <c r="AI69" s="88" t="s">
        <v>346</v>
      </c>
      <c r="AJ69" s="95"/>
      <c r="AK69" s="88" t="s">
        <v>881</v>
      </c>
      <c r="AL69" s="88" t="s">
        <v>882</v>
      </c>
      <c r="AM69" s="95"/>
      <c r="AN69" s="96" t="s">
        <v>883</v>
      </c>
      <c r="AO69" s="84"/>
    </row>
    <row r="70" spans="1:41" s="85" customFormat="1" x14ac:dyDescent="0.25">
      <c r="A70" s="88" t="s">
        <v>266</v>
      </c>
      <c r="B70" s="88" t="s">
        <v>884</v>
      </c>
      <c r="C70" s="88" t="s">
        <v>24</v>
      </c>
      <c r="D70" s="88" t="s">
        <v>248</v>
      </c>
      <c r="E70" s="88" t="s">
        <v>351</v>
      </c>
      <c r="F70" s="88" t="s">
        <v>387</v>
      </c>
      <c r="G70" s="88">
        <v>2014</v>
      </c>
      <c r="H70" s="88">
        <v>2019</v>
      </c>
      <c r="I70" s="88" t="s">
        <v>885</v>
      </c>
      <c r="J70" s="88" t="s">
        <v>351</v>
      </c>
      <c r="K70" s="92" t="s">
        <v>886</v>
      </c>
      <c r="L70" s="93"/>
      <c r="M70" s="94" t="s">
        <v>2272</v>
      </c>
      <c r="N70" s="88" t="s">
        <v>91</v>
      </c>
      <c r="O70" s="88" t="s">
        <v>336</v>
      </c>
      <c r="P70" s="88" t="s">
        <v>75</v>
      </c>
      <c r="Q70" s="88" t="s">
        <v>139</v>
      </c>
      <c r="R70" s="88" t="s">
        <v>138</v>
      </c>
      <c r="S70" s="88" t="s">
        <v>331</v>
      </c>
      <c r="T70" s="88" t="s">
        <v>331</v>
      </c>
      <c r="U70" s="88" t="s">
        <v>130</v>
      </c>
      <c r="V70" s="88" t="s">
        <v>351</v>
      </c>
      <c r="W70" s="88" t="s">
        <v>356</v>
      </c>
      <c r="X70" s="88" t="s">
        <v>130</v>
      </c>
      <c r="Y70" s="88" t="s">
        <v>351</v>
      </c>
      <c r="Z70" s="88" t="s">
        <v>380</v>
      </c>
      <c r="AA70" s="95"/>
      <c r="AB70" s="88" t="s">
        <v>887</v>
      </c>
      <c r="AC70" s="88" t="s">
        <v>888</v>
      </c>
      <c r="AD70" s="88" t="s">
        <v>889</v>
      </c>
      <c r="AE70" s="88" t="s">
        <v>751</v>
      </c>
      <c r="AF70" s="88" t="s">
        <v>130</v>
      </c>
      <c r="AG70" s="88" t="s">
        <v>361</v>
      </c>
      <c r="AH70" s="88" t="s">
        <v>528</v>
      </c>
      <c r="AI70" s="88" t="s">
        <v>346</v>
      </c>
      <c r="AJ70" s="95"/>
      <c r="AK70" s="88" t="s">
        <v>890</v>
      </c>
      <c r="AL70" s="88" t="s">
        <v>891</v>
      </c>
      <c r="AM70" s="95"/>
      <c r="AN70" s="96" t="s">
        <v>892</v>
      </c>
      <c r="AO70" s="84"/>
    </row>
    <row r="71" spans="1:41" s="85" customFormat="1" x14ac:dyDescent="0.25">
      <c r="A71" s="88" t="s">
        <v>266</v>
      </c>
      <c r="B71" s="88" t="s">
        <v>893</v>
      </c>
      <c r="C71" s="88" t="s">
        <v>24</v>
      </c>
      <c r="D71" s="88" t="s">
        <v>248</v>
      </c>
      <c r="E71" s="88" t="s">
        <v>351</v>
      </c>
      <c r="F71" s="88" t="s">
        <v>399</v>
      </c>
      <c r="G71" s="101" t="s">
        <v>819</v>
      </c>
      <c r="H71" s="88" t="s">
        <v>333</v>
      </c>
      <c r="I71" s="88" t="s">
        <v>894</v>
      </c>
      <c r="J71" s="88" t="s">
        <v>335</v>
      </c>
      <c r="K71" s="92" t="s">
        <v>895</v>
      </c>
      <c r="L71" s="93"/>
      <c r="M71" s="94" t="s">
        <v>2272</v>
      </c>
      <c r="N71" s="88" t="s">
        <v>896</v>
      </c>
      <c r="O71" s="88" t="s">
        <v>98</v>
      </c>
      <c r="P71" s="88" t="s">
        <v>123</v>
      </c>
      <c r="Q71" s="88" t="s">
        <v>139</v>
      </c>
      <c r="R71" s="88" t="s">
        <v>138</v>
      </c>
      <c r="S71" s="88" t="s">
        <v>331</v>
      </c>
      <c r="T71" s="88" t="s">
        <v>331</v>
      </c>
      <c r="U71" s="88" t="s">
        <v>130</v>
      </c>
      <c r="V71" s="88" t="s">
        <v>339</v>
      </c>
      <c r="W71" s="88" t="s">
        <v>339</v>
      </c>
      <c r="X71" s="88" t="s">
        <v>130</v>
      </c>
      <c r="Y71" s="88" t="s">
        <v>339</v>
      </c>
      <c r="Z71" s="88" t="s">
        <v>339</v>
      </c>
      <c r="AA71" s="95"/>
      <c r="AB71" s="88" t="s">
        <v>897</v>
      </c>
      <c r="AC71" s="88" t="s">
        <v>898</v>
      </c>
      <c r="AD71" s="88" t="s">
        <v>342</v>
      </c>
      <c r="AE71" s="88" t="s">
        <v>359</v>
      </c>
      <c r="AF71" s="88" t="s">
        <v>130</v>
      </c>
      <c r="AG71" s="88" t="s">
        <v>361</v>
      </c>
      <c r="AH71" s="88" t="s">
        <v>375</v>
      </c>
      <c r="AI71" s="88" t="s">
        <v>346</v>
      </c>
      <c r="AJ71" s="95"/>
      <c r="AK71" s="88" t="s">
        <v>339</v>
      </c>
      <c r="AL71" s="88" t="s">
        <v>339</v>
      </c>
      <c r="AM71" s="95"/>
      <c r="AN71" s="96" t="s">
        <v>899</v>
      </c>
      <c r="AO71" s="84"/>
    </row>
    <row r="72" spans="1:41" s="85" customFormat="1" x14ac:dyDescent="0.25">
      <c r="A72" s="88" t="s">
        <v>266</v>
      </c>
      <c r="B72" s="88" t="s">
        <v>900</v>
      </c>
      <c r="C72" s="88" t="s">
        <v>24</v>
      </c>
      <c r="D72" s="88" t="s">
        <v>248</v>
      </c>
      <c r="E72" s="88" t="s">
        <v>351</v>
      </c>
      <c r="F72" s="88" t="s">
        <v>399</v>
      </c>
      <c r="G72" s="101" t="s">
        <v>641</v>
      </c>
      <c r="H72" s="88" t="s">
        <v>901</v>
      </c>
      <c r="I72" s="88" t="s">
        <v>902</v>
      </c>
      <c r="J72" s="88" t="s">
        <v>335</v>
      </c>
      <c r="K72" s="92" t="s">
        <v>903</v>
      </c>
      <c r="L72" s="93"/>
      <c r="M72" s="94" t="s">
        <v>2272</v>
      </c>
      <c r="N72" s="88" t="s">
        <v>549</v>
      </c>
      <c r="O72" s="88" t="s">
        <v>336</v>
      </c>
      <c r="P72" s="88" t="s">
        <v>134</v>
      </c>
      <c r="Q72" s="88" t="s">
        <v>139</v>
      </c>
      <c r="R72" s="88" t="s">
        <v>77</v>
      </c>
      <c r="S72" s="88" t="s">
        <v>331</v>
      </c>
      <c r="T72" s="88" t="s">
        <v>351</v>
      </c>
      <c r="U72" s="88" t="s">
        <v>445</v>
      </c>
      <c r="V72" s="88" t="s">
        <v>339</v>
      </c>
      <c r="W72" s="88" t="s">
        <v>339</v>
      </c>
      <c r="X72" s="88" t="s">
        <v>130</v>
      </c>
      <c r="Y72" s="88" t="s">
        <v>339</v>
      </c>
      <c r="Z72" s="88" t="s">
        <v>339</v>
      </c>
      <c r="AA72" s="95"/>
      <c r="AB72" s="88" t="s">
        <v>904</v>
      </c>
      <c r="AC72" s="88" t="s">
        <v>905</v>
      </c>
      <c r="AD72" s="88" t="s">
        <v>342</v>
      </c>
      <c r="AE72" s="88" t="s">
        <v>359</v>
      </c>
      <c r="AF72" s="88" t="s">
        <v>130</v>
      </c>
      <c r="AG72" s="88" t="s">
        <v>361</v>
      </c>
      <c r="AH72" s="88" t="s">
        <v>375</v>
      </c>
      <c r="AI72" s="88" t="s">
        <v>346</v>
      </c>
      <c r="AJ72" s="95"/>
      <c r="AK72" s="88" t="s">
        <v>339</v>
      </c>
      <c r="AL72" s="88" t="s">
        <v>339</v>
      </c>
      <c r="AM72" s="95"/>
      <c r="AN72" s="96" t="s">
        <v>906</v>
      </c>
      <c r="AO72" s="84"/>
    </row>
    <row r="73" spans="1:41" s="85" customFormat="1" x14ac:dyDescent="0.25">
      <c r="A73" s="88" t="s">
        <v>266</v>
      </c>
      <c r="B73" s="88" t="s">
        <v>907</v>
      </c>
      <c r="C73" s="88" t="s">
        <v>24</v>
      </c>
      <c r="D73" s="88" t="s">
        <v>248</v>
      </c>
      <c r="E73" s="88" t="s">
        <v>351</v>
      </c>
      <c r="F73" s="88" t="s">
        <v>399</v>
      </c>
      <c r="G73" s="101" t="s">
        <v>908</v>
      </c>
      <c r="H73" s="88" t="s">
        <v>901</v>
      </c>
      <c r="I73" s="88" t="s">
        <v>909</v>
      </c>
      <c r="J73" s="88" t="s">
        <v>335</v>
      </c>
      <c r="K73" s="92" t="s">
        <v>909</v>
      </c>
      <c r="L73" s="93"/>
      <c r="M73" s="119" t="s">
        <v>2272</v>
      </c>
      <c r="N73" s="88" t="s">
        <v>79</v>
      </c>
      <c r="O73" s="88" t="s">
        <v>336</v>
      </c>
      <c r="P73" s="88" t="s">
        <v>134</v>
      </c>
      <c r="Q73" s="88" t="s">
        <v>139</v>
      </c>
      <c r="R73" s="88" t="s">
        <v>138</v>
      </c>
      <c r="S73" s="88" t="s">
        <v>130</v>
      </c>
      <c r="T73" s="88" t="s">
        <v>351</v>
      </c>
      <c r="U73" s="88" t="s">
        <v>90</v>
      </c>
      <c r="V73" s="88" t="s">
        <v>339</v>
      </c>
      <c r="W73" s="88" t="s">
        <v>339</v>
      </c>
      <c r="X73" s="88" t="s">
        <v>130</v>
      </c>
      <c r="Y73" s="88" t="s">
        <v>339</v>
      </c>
      <c r="Z73" s="88" t="s">
        <v>339</v>
      </c>
      <c r="AA73" s="95"/>
      <c r="AB73" s="88" t="s">
        <v>910</v>
      </c>
      <c r="AC73" s="88" t="s">
        <v>911</v>
      </c>
      <c r="AD73" s="88" t="s">
        <v>342</v>
      </c>
      <c r="AE73" s="88" t="s">
        <v>359</v>
      </c>
      <c r="AF73" s="88" t="s">
        <v>677</v>
      </c>
      <c r="AG73" s="88" t="s">
        <v>361</v>
      </c>
      <c r="AH73" s="88" t="s">
        <v>375</v>
      </c>
      <c r="AI73" s="88" t="s">
        <v>346</v>
      </c>
      <c r="AJ73" s="95"/>
      <c r="AK73" s="88" t="s">
        <v>339</v>
      </c>
      <c r="AL73" s="88" t="s">
        <v>339</v>
      </c>
      <c r="AM73" s="95"/>
      <c r="AN73" s="96" t="s">
        <v>912</v>
      </c>
      <c r="AO73" s="84"/>
    </row>
    <row r="74" spans="1:41" s="85" customFormat="1" x14ac:dyDescent="0.25">
      <c r="A74" s="88" t="s">
        <v>267</v>
      </c>
      <c r="B74" s="88" t="s">
        <v>913</v>
      </c>
      <c r="C74" s="88" t="s">
        <v>197</v>
      </c>
      <c r="D74" s="88" t="s">
        <v>43</v>
      </c>
      <c r="E74" s="88" t="s">
        <v>351</v>
      </c>
      <c r="F74" s="88" t="s">
        <v>332</v>
      </c>
      <c r="G74" s="88">
        <v>2010</v>
      </c>
      <c r="H74" s="88">
        <v>2020</v>
      </c>
      <c r="I74" s="88" t="s">
        <v>877</v>
      </c>
      <c r="J74" s="88" t="s">
        <v>335</v>
      </c>
      <c r="K74" s="92" t="s">
        <v>877</v>
      </c>
      <c r="L74" s="93"/>
      <c r="M74" s="94" t="s">
        <v>2270</v>
      </c>
      <c r="N74" s="88" t="s">
        <v>476</v>
      </c>
      <c r="O74" s="88" t="s">
        <v>914</v>
      </c>
      <c r="P74" s="88" t="s">
        <v>134</v>
      </c>
      <c r="Q74" s="88" t="s">
        <v>88</v>
      </c>
      <c r="R74" s="88" t="s">
        <v>77</v>
      </c>
      <c r="S74" s="88" t="s">
        <v>331</v>
      </c>
      <c r="T74" s="88" t="s">
        <v>331</v>
      </c>
      <c r="U74" s="88" t="s">
        <v>130</v>
      </c>
      <c r="V74" s="88" t="s">
        <v>331</v>
      </c>
      <c r="W74" s="88" t="s">
        <v>356</v>
      </c>
      <c r="X74" s="88" t="s">
        <v>130</v>
      </c>
      <c r="Y74" s="88" t="s">
        <v>331</v>
      </c>
      <c r="Z74" s="88" t="s">
        <v>512</v>
      </c>
      <c r="AA74" s="95"/>
      <c r="AB74" s="88" t="s">
        <v>915</v>
      </c>
      <c r="AC74" s="88" t="s">
        <v>916</v>
      </c>
      <c r="AD74" s="88" t="s">
        <v>342</v>
      </c>
      <c r="AE74" s="88" t="s">
        <v>359</v>
      </c>
      <c r="AF74" s="88" t="s">
        <v>917</v>
      </c>
      <c r="AG74" s="88" t="s">
        <v>361</v>
      </c>
      <c r="AH74" s="88" t="s">
        <v>375</v>
      </c>
      <c r="AI74" s="88" t="s">
        <v>346</v>
      </c>
      <c r="AJ74" s="95"/>
      <c r="AK74" s="88" t="s">
        <v>339</v>
      </c>
      <c r="AL74" s="88" t="s">
        <v>339</v>
      </c>
      <c r="AM74" s="95"/>
      <c r="AN74" s="96" t="s">
        <v>918</v>
      </c>
      <c r="AO74" s="84"/>
    </row>
    <row r="75" spans="1:41" s="85" customFormat="1" x14ac:dyDescent="0.25">
      <c r="A75" s="88" t="s">
        <v>267</v>
      </c>
      <c r="B75" s="88" t="s">
        <v>919</v>
      </c>
      <c r="C75" s="88" t="s">
        <v>197</v>
      </c>
      <c r="D75" s="88" t="s">
        <v>43</v>
      </c>
      <c r="E75" s="88" t="s">
        <v>351</v>
      </c>
      <c r="F75" s="88" t="s">
        <v>332</v>
      </c>
      <c r="G75" s="88">
        <v>1985</v>
      </c>
      <c r="H75" s="88" t="s">
        <v>333</v>
      </c>
      <c r="I75" s="88" t="s">
        <v>877</v>
      </c>
      <c r="J75" s="88" t="s">
        <v>335</v>
      </c>
      <c r="K75" s="92" t="s">
        <v>919</v>
      </c>
      <c r="L75" s="93"/>
      <c r="M75" s="94" t="s">
        <v>2248</v>
      </c>
      <c r="N75" s="88" t="s">
        <v>121</v>
      </c>
      <c r="O75" s="88" t="s">
        <v>684</v>
      </c>
      <c r="P75" s="88" t="s">
        <v>920</v>
      </c>
      <c r="Q75" s="88" t="s">
        <v>139</v>
      </c>
      <c r="R75" s="88" t="s">
        <v>138</v>
      </c>
      <c r="S75" s="88" t="s">
        <v>331</v>
      </c>
      <c r="T75" s="88" t="s">
        <v>331</v>
      </c>
      <c r="U75" s="88" t="s">
        <v>130</v>
      </c>
      <c r="V75" s="88" t="s">
        <v>331</v>
      </c>
      <c r="W75" s="88" t="s">
        <v>356</v>
      </c>
      <c r="X75" s="88" t="s">
        <v>130</v>
      </c>
      <c r="Y75" s="88" t="s">
        <v>331</v>
      </c>
      <c r="Z75" s="88" t="s">
        <v>331</v>
      </c>
      <c r="AA75" s="95"/>
      <c r="AB75" s="88" t="s">
        <v>921</v>
      </c>
      <c r="AC75" s="88" t="s">
        <v>922</v>
      </c>
      <c r="AD75" s="88" t="s">
        <v>342</v>
      </c>
      <c r="AE75" s="88" t="s">
        <v>343</v>
      </c>
      <c r="AF75" s="88" t="s">
        <v>130</v>
      </c>
      <c r="AG75" s="88" t="s">
        <v>361</v>
      </c>
      <c r="AH75" s="88" t="s">
        <v>923</v>
      </c>
      <c r="AI75" s="88" t="s">
        <v>346</v>
      </c>
      <c r="AJ75" s="95"/>
      <c r="AK75" s="88" t="s">
        <v>924</v>
      </c>
      <c r="AL75" s="88" t="s">
        <v>925</v>
      </c>
      <c r="AM75" s="95"/>
      <c r="AN75" s="96" t="s">
        <v>926</v>
      </c>
      <c r="AO75" s="84"/>
    </row>
    <row r="76" spans="1:41" s="85" customFormat="1" x14ac:dyDescent="0.25">
      <c r="A76" s="88" t="s">
        <v>267</v>
      </c>
      <c r="B76" s="88" t="s">
        <v>927</v>
      </c>
      <c r="C76" s="88" t="s">
        <v>197</v>
      </c>
      <c r="D76" s="88" t="s">
        <v>43</v>
      </c>
      <c r="E76" s="88" t="s">
        <v>351</v>
      </c>
      <c r="F76" s="88" t="s">
        <v>399</v>
      </c>
      <c r="G76" s="88" t="s">
        <v>509</v>
      </c>
      <c r="H76" s="88" t="s">
        <v>928</v>
      </c>
      <c r="I76" s="88" t="s">
        <v>929</v>
      </c>
      <c r="J76" s="88" t="s">
        <v>335</v>
      </c>
      <c r="K76" s="92" t="s">
        <v>919</v>
      </c>
      <c r="L76" s="93"/>
      <c r="M76" s="94" t="s">
        <v>2272</v>
      </c>
      <c r="N76" s="88" t="s">
        <v>79</v>
      </c>
      <c r="O76" s="88" t="s">
        <v>336</v>
      </c>
      <c r="P76" s="88" t="s">
        <v>930</v>
      </c>
      <c r="Q76" s="88" t="s">
        <v>931</v>
      </c>
      <c r="R76" s="88" t="s">
        <v>138</v>
      </c>
      <c r="S76" s="88" t="s">
        <v>331</v>
      </c>
      <c r="T76" s="88" t="s">
        <v>351</v>
      </c>
      <c r="U76" s="88" t="s">
        <v>90</v>
      </c>
      <c r="V76" s="88" t="s">
        <v>331</v>
      </c>
      <c r="W76" s="88" t="s">
        <v>351</v>
      </c>
      <c r="X76" s="88" t="s">
        <v>461</v>
      </c>
      <c r="Y76" s="88" t="s">
        <v>331</v>
      </c>
      <c r="Z76" s="88" t="s">
        <v>331</v>
      </c>
      <c r="AA76" s="95"/>
      <c r="AB76" s="88" t="s">
        <v>932</v>
      </c>
      <c r="AC76" s="97" t="s">
        <v>933</v>
      </c>
      <c r="AD76" s="88" t="s">
        <v>342</v>
      </c>
      <c r="AE76" s="88" t="s">
        <v>343</v>
      </c>
      <c r="AF76" s="88" t="s">
        <v>130</v>
      </c>
      <c r="AG76" s="88" t="s">
        <v>934</v>
      </c>
      <c r="AH76" s="88" t="s">
        <v>375</v>
      </c>
      <c r="AI76" s="88" t="s">
        <v>346</v>
      </c>
      <c r="AJ76" s="95"/>
      <c r="AK76" s="88" t="s">
        <v>935</v>
      </c>
      <c r="AL76" s="88" t="s">
        <v>339</v>
      </c>
      <c r="AM76" s="95"/>
      <c r="AN76" s="96" t="s">
        <v>936</v>
      </c>
      <c r="AO76" s="84"/>
    </row>
    <row r="77" spans="1:41" s="85" customFormat="1" x14ac:dyDescent="0.25">
      <c r="A77" s="88" t="s">
        <v>267</v>
      </c>
      <c r="B77" s="88" t="s">
        <v>937</v>
      </c>
      <c r="C77" s="88" t="s">
        <v>197</v>
      </c>
      <c r="D77" s="88" t="s">
        <v>43</v>
      </c>
      <c r="E77" s="88" t="s">
        <v>351</v>
      </c>
      <c r="F77" s="88" t="s">
        <v>332</v>
      </c>
      <c r="G77" s="88">
        <v>2018</v>
      </c>
      <c r="H77" s="88">
        <v>2023</v>
      </c>
      <c r="I77" s="88" t="s">
        <v>586</v>
      </c>
      <c r="J77" s="88" t="s">
        <v>335</v>
      </c>
      <c r="K77" s="92" t="s">
        <v>938</v>
      </c>
      <c r="L77" s="93"/>
      <c r="M77" s="94" t="s">
        <v>2270</v>
      </c>
      <c r="N77" s="88" t="s">
        <v>939</v>
      </c>
      <c r="O77" s="88" t="s">
        <v>940</v>
      </c>
      <c r="P77" s="88" t="s">
        <v>134</v>
      </c>
      <c r="Q77" s="88" t="s">
        <v>100</v>
      </c>
      <c r="R77" s="88" t="s">
        <v>138</v>
      </c>
      <c r="S77" s="88" t="s">
        <v>331</v>
      </c>
      <c r="T77" s="88" t="s">
        <v>331</v>
      </c>
      <c r="U77" s="88" t="s">
        <v>130</v>
      </c>
      <c r="V77" s="88" t="s">
        <v>351</v>
      </c>
      <c r="W77" s="88" t="s">
        <v>356</v>
      </c>
      <c r="X77" s="88" t="s">
        <v>130</v>
      </c>
      <c r="Y77" s="88" t="s">
        <v>351</v>
      </c>
      <c r="Z77" s="88" t="s">
        <v>380</v>
      </c>
      <c r="AA77" s="95"/>
      <c r="AB77" s="88" t="s">
        <v>941</v>
      </c>
      <c r="AC77" s="88" t="s">
        <v>942</v>
      </c>
      <c r="AD77" s="88" t="s">
        <v>943</v>
      </c>
      <c r="AE77" s="88" t="s">
        <v>359</v>
      </c>
      <c r="AF77" s="88" t="s">
        <v>130</v>
      </c>
      <c r="AG77" s="88" t="s">
        <v>361</v>
      </c>
      <c r="AH77" s="88" t="s">
        <v>375</v>
      </c>
      <c r="AI77" s="88" t="s">
        <v>346</v>
      </c>
      <c r="AJ77" s="95"/>
      <c r="AK77" s="88" t="s">
        <v>339</v>
      </c>
      <c r="AL77" s="88" t="s">
        <v>339</v>
      </c>
      <c r="AM77" s="95"/>
      <c r="AN77" s="96" t="s">
        <v>944</v>
      </c>
      <c r="AO77" s="84"/>
    </row>
    <row r="78" spans="1:41" s="85" customFormat="1" x14ac:dyDescent="0.25">
      <c r="A78" s="88" t="s">
        <v>267</v>
      </c>
      <c r="B78" s="88" t="s">
        <v>945</v>
      </c>
      <c r="C78" s="88" t="s">
        <v>197</v>
      </c>
      <c r="D78" s="88" t="s">
        <v>43</v>
      </c>
      <c r="E78" s="88" t="s">
        <v>351</v>
      </c>
      <c r="F78" s="88" t="s">
        <v>332</v>
      </c>
      <c r="G78" s="104">
        <v>44075</v>
      </c>
      <c r="H78" s="88" t="s">
        <v>946</v>
      </c>
      <c r="I78" s="88" t="s">
        <v>947</v>
      </c>
      <c r="J78" s="88" t="s">
        <v>351</v>
      </c>
      <c r="K78" s="92" t="s">
        <v>947</v>
      </c>
      <c r="L78" s="93"/>
      <c r="M78" s="94" t="s">
        <v>2272</v>
      </c>
      <c r="N78" s="88" t="s">
        <v>79</v>
      </c>
      <c r="O78" s="88" t="s">
        <v>336</v>
      </c>
      <c r="P78" s="88" t="s">
        <v>948</v>
      </c>
      <c r="Q78" s="88" t="s">
        <v>949</v>
      </c>
      <c r="R78" s="88" t="s">
        <v>950</v>
      </c>
      <c r="S78" s="88" t="s">
        <v>331</v>
      </c>
      <c r="T78" s="88" t="s">
        <v>351</v>
      </c>
      <c r="U78" s="88" t="s">
        <v>90</v>
      </c>
      <c r="V78" s="88" t="s">
        <v>331</v>
      </c>
      <c r="W78" s="88" t="s">
        <v>356</v>
      </c>
      <c r="X78" s="88" t="s">
        <v>130</v>
      </c>
      <c r="Y78" s="88" t="s">
        <v>331</v>
      </c>
      <c r="Z78" s="88" t="s">
        <v>331</v>
      </c>
      <c r="AA78" s="95"/>
      <c r="AB78" s="88" t="s">
        <v>951</v>
      </c>
      <c r="AC78" s="88" t="s">
        <v>952</v>
      </c>
      <c r="AD78" s="88" t="s">
        <v>342</v>
      </c>
      <c r="AE78" s="88" t="s">
        <v>359</v>
      </c>
      <c r="AF78" s="88" t="s">
        <v>130</v>
      </c>
      <c r="AG78" s="88" t="s">
        <v>953</v>
      </c>
      <c r="AH78" s="88" t="s">
        <v>375</v>
      </c>
      <c r="AI78" s="88" t="s">
        <v>346</v>
      </c>
      <c r="AJ78" s="95"/>
      <c r="AK78" s="88" t="s">
        <v>339</v>
      </c>
      <c r="AL78" s="88" t="s">
        <v>339</v>
      </c>
      <c r="AM78" s="95"/>
      <c r="AN78" s="96" t="s">
        <v>954</v>
      </c>
      <c r="AO78" s="84"/>
    </row>
    <row r="79" spans="1:41" s="85" customFormat="1" x14ac:dyDescent="0.25">
      <c r="A79" s="88" t="s">
        <v>267</v>
      </c>
      <c r="B79" s="88" t="s">
        <v>955</v>
      </c>
      <c r="C79" s="88" t="s">
        <v>197</v>
      </c>
      <c r="D79" s="88" t="s">
        <v>43</v>
      </c>
      <c r="E79" s="88" t="s">
        <v>351</v>
      </c>
      <c r="F79" s="88" t="s">
        <v>399</v>
      </c>
      <c r="G79" s="88">
        <v>1996</v>
      </c>
      <c r="H79" s="88" t="s">
        <v>333</v>
      </c>
      <c r="I79" s="88" t="s">
        <v>353</v>
      </c>
      <c r="J79" s="88" t="s">
        <v>335</v>
      </c>
      <c r="K79" s="92" t="s">
        <v>956</v>
      </c>
      <c r="L79" s="93"/>
      <c r="M79" s="94" t="s">
        <v>2272</v>
      </c>
      <c r="N79" s="88" t="s">
        <v>353</v>
      </c>
      <c r="O79" s="88" t="s">
        <v>353</v>
      </c>
      <c r="P79" s="88" t="s">
        <v>134</v>
      </c>
      <c r="Q79" s="88" t="s">
        <v>957</v>
      </c>
      <c r="R79" s="88" t="s">
        <v>138</v>
      </c>
      <c r="S79" s="88" t="s">
        <v>331</v>
      </c>
      <c r="T79" s="88" t="s">
        <v>331</v>
      </c>
      <c r="U79" s="88" t="s">
        <v>130</v>
      </c>
      <c r="V79" s="88" t="s">
        <v>331</v>
      </c>
      <c r="W79" s="88" t="s">
        <v>356</v>
      </c>
      <c r="X79" s="88" t="s">
        <v>130</v>
      </c>
      <c r="Y79" s="88" t="s">
        <v>339</v>
      </c>
      <c r="Z79" s="88" t="s">
        <v>339</v>
      </c>
      <c r="AA79" s="95"/>
      <c r="AB79" s="88" t="s">
        <v>958</v>
      </c>
      <c r="AC79" s="88" t="s">
        <v>959</v>
      </c>
      <c r="AD79" s="88" t="s">
        <v>529</v>
      </c>
      <c r="AE79" s="88" t="s">
        <v>359</v>
      </c>
      <c r="AF79" s="88" t="s">
        <v>130</v>
      </c>
      <c r="AG79" s="88" t="s">
        <v>361</v>
      </c>
      <c r="AH79" s="88" t="s">
        <v>375</v>
      </c>
      <c r="AI79" s="88" t="s">
        <v>346</v>
      </c>
      <c r="AJ79" s="95"/>
      <c r="AK79" s="88" t="s">
        <v>339</v>
      </c>
      <c r="AL79" s="88" t="s">
        <v>339</v>
      </c>
      <c r="AM79" s="95"/>
      <c r="AN79" s="96" t="s">
        <v>960</v>
      </c>
      <c r="AO79" s="84"/>
    </row>
    <row r="80" spans="1:41" s="89" customFormat="1" x14ac:dyDescent="0.25">
      <c r="A80" s="88" t="s">
        <v>268</v>
      </c>
      <c r="B80" s="88" t="s">
        <v>961</v>
      </c>
      <c r="C80" s="88" t="s">
        <v>197</v>
      </c>
      <c r="D80" s="88" t="s">
        <v>250</v>
      </c>
      <c r="E80" s="88" t="s">
        <v>351</v>
      </c>
      <c r="F80" s="88" t="s">
        <v>387</v>
      </c>
      <c r="G80" s="100" t="s">
        <v>962</v>
      </c>
      <c r="H80" s="100" t="s">
        <v>963</v>
      </c>
      <c r="I80" s="88" t="s">
        <v>964</v>
      </c>
      <c r="J80" s="88" t="s">
        <v>351</v>
      </c>
      <c r="K80" s="92" t="s">
        <v>965</v>
      </c>
      <c r="L80" s="93"/>
      <c r="M80" s="94" t="s">
        <v>2272</v>
      </c>
      <c r="N80" s="88" t="s">
        <v>121</v>
      </c>
      <c r="O80" s="88" t="s">
        <v>98</v>
      </c>
      <c r="P80" s="88" t="s">
        <v>134</v>
      </c>
      <c r="Q80" s="88" t="s">
        <v>76</v>
      </c>
      <c r="R80" s="88" t="s">
        <v>966</v>
      </c>
      <c r="S80" s="88" t="s">
        <v>331</v>
      </c>
      <c r="T80" s="88" t="s">
        <v>331</v>
      </c>
      <c r="U80" s="88" t="s">
        <v>130</v>
      </c>
      <c r="V80" s="88" t="s">
        <v>351</v>
      </c>
      <c r="W80" s="88" t="s">
        <v>339</v>
      </c>
      <c r="X80" s="88" t="s">
        <v>130</v>
      </c>
      <c r="Y80" s="88" t="s">
        <v>339</v>
      </c>
      <c r="Z80" s="88" t="s">
        <v>339</v>
      </c>
      <c r="AA80" s="88"/>
      <c r="AB80" s="88" t="s">
        <v>967</v>
      </c>
      <c r="AC80" s="88" t="s">
        <v>968</v>
      </c>
      <c r="AD80" s="88" t="s">
        <v>969</v>
      </c>
      <c r="AE80" s="88" t="s">
        <v>751</v>
      </c>
      <c r="AF80" s="88" t="s">
        <v>130</v>
      </c>
      <c r="AG80" s="88" t="s">
        <v>361</v>
      </c>
      <c r="AH80" s="88" t="s">
        <v>375</v>
      </c>
      <c r="AI80" s="88" t="s">
        <v>346</v>
      </c>
      <c r="AJ80" s="88"/>
      <c r="AK80" s="88" t="s">
        <v>970</v>
      </c>
      <c r="AL80" s="88" t="s">
        <v>339</v>
      </c>
      <c r="AM80" s="88"/>
      <c r="AN80" s="96" t="s">
        <v>971</v>
      </c>
    </row>
    <row r="81" spans="1:41" s="85" customFormat="1" x14ac:dyDescent="0.25">
      <c r="A81" s="88" t="s">
        <v>268</v>
      </c>
      <c r="B81" s="88" t="s">
        <v>972</v>
      </c>
      <c r="C81" s="88" t="s">
        <v>197</v>
      </c>
      <c r="D81" s="88" t="s">
        <v>250</v>
      </c>
      <c r="E81" s="88" t="s">
        <v>351</v>
      </c>
      <c r="F81" s="88" t="s">
        <v>399</v>
      </c>
      <c r="G81" s="88" t="s">
        <v>416</v>
      </c>
      <c r="H81" s="88" t="s">
        <v>333</v>
      </c>
      <c r="I81" s="88" t="s">
        <v>353</v>
      </c>
      <c r="J81" s="88" t="s">
        <v>335</v>
      </c>
      <c r="K81" s="92" t="s">
        <v>407</v>
      </c>
      <c r="L81" s="93"/>
      <c r="M81" s="94" t="s">
        <v>2248</v>
      </c>
      <c r="N81" s="88" t="s">
        <v>460</v>
      </c>
      <c r="O81" s="88" t="s">
        <v>98</v>
      </c>
      <c r="P81" s="88" t="s">
        <v>134</v>
      </c>
      <c r="Q81" s="88" t="s">
        <v>139</v>
      </c>
      <c r="R81" s="88" t="s">
        <v>138</v>
      </c>
      <c r="S81" s="88" t="s">
        <v>331</v>
      </c>
      <c r="T81" s="88" t="s">
        <v>331</v>
      </c>
      <c r="U81" s="88" t="s">
        <v>130</v>
      </c>
      <c r="V81" s="88" t="s">
        <v>339</v>
      </c>
      <c r="W81" s="88" t="s">
        <v>339</v>
      </c>
      <c r="X81" s="88" t="s">
        <v>130</v>
      </c>
      <c r="Y81" s="88" t="s">
        <v>339</v>
      </c>
      <c r="Z81" s="88" t="s">
        <v>339</v>
      </c>
      <c r="AA81" s="95"/>
      <c r="AB81" s="88" t="s">
        <v>973</v>
      </c>
      <c r="AC81" s="88" t="s">
        <v>974</v>
      </c>
      <c r="AD81" s="88" t="s">
        <v>342</v>
      </c>
      <c r="AE81" s="88" t="s">
        <v>359</v>
      </c>
      <c r="AF81" s="88" t="s">
        <v>130</v>
      </c>
      <c r="AG81" s="88" t="s">
        <v>361</v>
      </c>
      <c r="AH81" s="88" t="s">
        <v>375</v>
      </c>
      <c r="AI81" s="88" t="s">
        <v>346</v>
      </c>
      <c r="AJ81" s="95"/>
      <c r="AK81" s="88" t="s">
        <v>339</v>
      </c>
      <c r="AL81" s="88" t="s">
        <v>529</v>
      </c>
      <c r="AM81" s="95"/>
      <c r="AN81" s="96" t="s">
        <v>975</v>
      </c>
      <c r="AO81" s="84"/>
    </row>
    <row r="82" spans="1:41" s="85" customFormat="1" x14ac:dyDescent="0.25">
      <c r="A82" s="88" t="s">
        <v>269</v>
      </c>
      <c r="B82" s="88" t="s">
        <v>976</v>
      </c>
      <c r="C82" s="88" t="s">
        <v>197</v>
      </c>
      <c r="D82" s="88" t="s">
        <v>250</v>
      </c>
      <c r="E82" s="88" t="s">
        <v>351</v>
      </c>
      <c r="F82" s="88" t="s">
        <v>371</v>
      </c>
      <c r="G82" s="88">
        <v>1994</v>
      </c>
      <c r="H82" s="88" t="s">
        <v>333</v>
      </c>
      <c r="I82" s="88" t="s">
        <v>977</v>
      </c>
      <c r="J82" s="88" t="s">
        <v>335</v>
      </c>
      <c r="K82" s="92" t="s">
        <v>407</v>
      </c>
      <c r="L82" s="93"/>
      <c r="M82" s="94" t="s">
        <v>2248</v>
      </c>
      <c r="N82" s="88" t="s">
        <v>355</v>
      </c>
      <c r="O82" s="88" t="s">
        <v>98</v>
      </c>
      <c r="P82" s="88" t="s">
        <v>134</v>
      </c>
      <c r="Q82" s="88" t="s">
        <v>76</v>
      </c>
      <c r="R82" s="88" t="s">
        <v>138</v>
      </c>
      <c r="S82" s="88" t="s">
        <v>331</v>
      </c>
      <c r="T82" s="88" t="s">
        <v>331</v>
      </c>
      <c r="U82" s="88" t="s">
        <v>130</v>
      </c>
      <c r="V82" s="88" t="s">
        <v>339</v>
      </c>
      <c r="W82" s="88" t="s">
        <v>339</v>
      </c>
      <c r="X82" s="88" t="s">
        <v>130</v>
      </c>
      <c r="Y82" s="88" t="s">
        <v>339</v>
      </c>
      <c r="Z82" s="88" t="s">
        <v>512</v>
      </c>
      <c r="AA82" s="95"/>
      <c r="AB82" s="88" t="s">
        <v>978</v>
      </c>
      <c r="AC82" s="88" t="s">
        <v>979</v>
      </c>
      <c r="AD82" s="88" t="s">
        <v>342</v>
      </c>
      <c r="AE82" s="88" t="s">
        <v>359</v>
      </c>
      <c r="AF82" s="88" t="s">
        <v>130</v>
      </c>
      <c r="AG82" s="88" t="s">
        <v>361</v>
      </c>
      <c r="AH82" s="88" t="s">
        <v>980</v>
      </c>
      <c r="AI82" s="88" t="s">
        <v>346</v>
      </c>
      <c r="AJ82" s="95"/>
      <c r="AK82" s="88" t="s">
        <v>339</v>
      </c>
      <c r="AL82" s="88" t="s">
        <v>339</v>
      </c>
      <c r="AM82" s="95"/>
      <c r="AN82" s="96" t="s">
        <v>981</v>
      </c>
      <c r="AO82" s="84"/>
    </row>
    <row r="83" spans="1:41" s="85" customFormat="1" x14ac:dyDescent="0.25">
      <c r="A83" s="88" t="s">
        <v>270</v>
      </c>
      <c r="B83" s="88" t="s">
        <v>982</v>
      </c>
      <c r="C83" s="88" t="s">
        <v>252</v>
      </c>
      <c r="D83" s="88" t="s">
        <v>43</v>
      </c>
      <c r="E83" s="88" t="s">
        <v>351</v>
      </c>
      <c r="F83" s="88" t="s">
        <v>332</v>
      </c>
      <c r="G83" s="101" t="s">
        <v>983</v>
      </c>
      <c r="H83" s="88" t="s">
        <v>984</v>
      </c>
      <c r="I83" s="88" t="s">
        <v>985</v>
      </c>
      <c r="J83" s="88" t="s">
        <v>335</v>
      </c>
      <c r="K83" s="92" t="s">
        <v>407</v>
      </c>
      <c r="L83" s="93"/>
      <c r="M83" s="94" t="s">
        <v>2272</v>
      </c>
      <c r="N83" s="88" t="s">
        <v>73</v>
      </c>
      <c r="O83" s="88" t="s">
        <v>336</v>
      </c>
      <c r="P83" s="88" t="s">
        <v>134</v>
      </c>
      <c r="Q83" s="88" t="s">
        <v>139</v>
      </c>
      <c r="R83" s="88" t="s">
        <v>489</v>
      </c>
      <c r="S83" s="88" t="s">
        <v>331</v>
      </c>
      <c r="T83" s="88" t="s">
        <v>351</v>
      </c>
      <c r="U83" s="88" t="s">
        <v>90</v>
      </c>
      <c r="V83" s="88" t="s">
        <v>331</v>
      </c>
      <c r="W83" s="88" t="s">
        <v>356</v>
      </c>
      <c r="X83" s="88" t="s">
        <v>130</v>
      </c>
      <c r="Y83" s="88" t="s">
        <v>331</v>
      </c>
      <c r="Z83" s="88" t="s">
        <v>331</v>
      </c>
      <c r="AA83" s="95"/>
      <c r="AB83" s="88" t="s">
        <v>986</v>
      </c>
      <c r="AC83" s="88" t="s">
        <v>987</v>
      </c>
      <c r="AD83" s="88" t="s">
        <v>342</v>
      </c>
      <c r="AE83" s="88" t="s">
        <v>359</v>
      </c>
      <c r="AF83" s="88" t="s">
        <v>130</v>
      </c>
      <c r="AG83" s="88" t="s">
        <v>361</v>
      </c>
      <c r="AH83" s="88" t="s">
        <v>375</v>
      </c>
      <c r="AI83" s="88" t="s">
        <v>346</v>
      </c>
      <c r="AJ83" s="95"/>
      <c r="AK83" s="88" t="s">
        <v>339</v>
      </c>
      <c r="AL83" s="88" t="s">
        <v>339</v>
      </c>
      <c r="AM83" s="95"/>
      <c r="AN83" s="96" t="s">
        <v>988</v>
      </c>
      <c r="AO83" s="84"/>
    </row>
    <row r="84" spans="1:41" s="85" customFormat="1" x14ac:dyDescent="0.25">
      <c r="A84" s="88" t="s">
        <v>270</v>
      </c>
      <c r="B84" s="88" t="s">
        <v>989</v>
      </c>
      <c r="C84" s="88" t="s">
        <v>252</v>
      </c>
      <c r="D84" s="88" t="s">
        <v>43</v>
      </c>
      <c r="E84" s="88" t="s">
        <v>351</v>
      </c>
      <c r="F84" s="88" t="s">
        <v>332</v>
      </c>
      <c r="G84" s="88" t="s">
        <v>990</v>
      </c>
      <c r="H84" s="88" t="s">
        <v>333</v>
      </c>
      <c r="I84" s="88" t="s">
        <v>991</v>
      </c>
      <c r="J84" s="88" t="s">
        <v>351</v>
      </c>
      <c r="K84" s="92" t="s">
        <v>407</v>
      </c>
      <c r="L84" s="93"/>
      <c r="M84" s="94" t="s">
        <v>2272</v>
      </c>
      <c r="N84" s="88" t="s">
        <v>115</v>
      </c>
      <c r="O84" s="88" t="s">
        <v>336</v>
      </c>
      <c r="P84" s="88" t="s">
        <v>800</v>
      </c>
      <c r="Q84" s="88" t="s">
        <v>139</v>
      </c>
      <c r="R84" s="88" t="s">
        <v>138</v>
      </c>
      <c r="S84" s="88" t="s">
        <v>331</v>
      </c>
      <c r="T84" s="88" t="s">
        <v>331</v>
      </c>
      <c r="U84" s="88" t="s">
        <v>130</v>
      </c>
      <c r="V84" s="88" t="s">
        <v>331</v>
      </c>
      <c r="W84" s="88" t="s">
        <v>356</v>
      </c>
      <c r="X84" s="88" t="s">
        <v>130</v>
      </c>
      <c r="Y84" s="88" t="s">
        <v>331</v>
      </c>
      <c r="Z84" s="88" t="s">
        <v>339</v>
      </c>
      <c r="AA84" s="95"/>
      <c r="AB84" s="88" t="s">
        <v>992</v>
      </c>
      <c r="AC84" s="88" t="s">
        <v>993</v>
      </c>
      <c r="AD84" s="88" t="s">
        <v>342</v>
      </c>
      <c r="AE84" s="88" t="s">
        <v>359</v>
      </c>
      <c r="AF84" s="88" t="s">
        <v>130</v>
      </c>
      <c r="AG84" s="88" t="s">
        <v>361</v>
      </c>
      <c r="AH84" s="88" t="s">
        <v>375</v>
      </c>
      <c r="AI84" s="88" t="s">
        <v>346</v>
      </c>
      <c r="AJ84" s="95"/>
      <c r="AK84" s="88" t="s">
        <v>339</v>
      </c>
      <c r="AL84" s="88" t="s">
        <v>339</v>
      </c>
      <c r="AM84" s="95"/>
      <c r="AN84" s="96" t="s">
        <v>994</v>
      </c>
      <c r="AO84" s="84"/>
    </row>
    <row r="85" spans="1:41" s="85" customFormat="1" x14ac:dyDescent="0.25">
      <c r="A85" s="88" t="s">
        <v>270</v>
      </c>
      <c r="B85" s="88" t="s">
        <v>995</v>
      </c>
      <c r="C85" s="88" t="s">
        <v>252</v>
      </c>
      <c r="D85" s="88" t="s">
        <v>43</v>
      </c>
      <c r="E85" s="88" t="s">
        <v>351</v>
      </c>
      <c r="F85" s="88" t="s">
        <v>332</v>
      </c>
      <c r="G85" s="100" t="s">
        <v>996</v>
      </c>
      <c r="H85" s="88">
        <v>2018</v>
      </c>
      <c r="I85" s="88" t="s">
        <v>997</v>
      </c>
      <c r="J85" s="88" t="s">
        <v>335</v>
      </c>
      <c r="K85" s="92" t="s">
        <v>998</v>
      </c>
      <c r="L85" s="93"/>
      <c r="M85" s="94" t="s">
        <v>2248</v>
      </c>
      <c r="N85" s="88" t="s">
        <v>79</v>
      </c>
      <c r="O85" s="88" t="s">
        <v>336</v>
      </c>
      <c r="P85" s="88" t="s">
        <v>81</v>
      </c>
      <c r="Q85" s="88" t="s">
        <v>139</v>
      </c>
      <c r="R85" s="88" t="s">
        <v>138</v>
      </c>
      <c r="S85" s="88" t="s">
        <v>331</v>
      </c>
      <c r="T85" s="88" t="s">
        <v>331</v>
      </c>
      <c r="U85" s="88" t="s">
        <v>130</v>
      </c>
      <c r="V85" s="88" t="s">
        <v>331</v>
      </c>
      <c r="W85" s="88" t="s">
        <v>356</v>
      </c>
      <c r="X85" s="88" t="s">
        <v>130</v>
      </c>
      <c r="Y85" s="88" t="s">
        <v>331</v>
      </c>
      <c r="Z85" s="88" t="s">
        <v>512</v>
      </c>
      <c r="AA85" s="95"/>
      <c r="AB85" s="88" t="s">
        <v>999</v>
      </c>
      <c r="AC85" s="88" t="s">
        <v>1000</v>
      </c>
      <c r="AD85" s="88" t="s">
        <v>342</v>
      </c>
      <c r="AE85" s="88" t="s">
        <v>359</v>
      </c>
      <c r="AF85" s="88" t="s">
        <v>130</v>
      </c>
      <c r="AG85" s="88" t="s">
        <v>361</v>
      </c>
      <c r="AH85" s="88" t="s">
        <v>1001</v>
      </c>
      <c r="AI85" s="88" t="s">
        <v>346</v>
      </c>
      <c r="AJ85" s="95"/>
      <c r="AK85" s="88" t="s">
        <v>339</v>
      </c>
      <c r="AL85" s="88" t="s">
        <v>339</v>
      </c>
      <c r="AM85" s="95"/>
      <c r="AN85" s="96" t="s">
        <v>1002</v>
      </c>
      <c r="AO85" s="84"/>
    </row>
    <row r="86" spans="1:41" s="85" customFormat="1" x14ac:dyDescent="0.25">
      <c r="A86" s="88" t="s">
        <v>270</v>
      </c>
      <c r="B86" s="88" t="s">
        <v>1003</v>
      </c>
      <c r="C86" s="88" t="s">
        <v>252</v>
      </c>
      <c r="D86" s="88" t="s">
        <v>43</v>
      </c>
      <c r="E86" s="88" t="s">
        <v>351</v>
      </c>
      <c r="F86" s="88" t="s">
        <v>332</v>
      </c>
      <c r="G86" s="88">
        <v>2014</v>
      </c>
      <c r="H86" s="88">
        <v>2020</v>
      </c>
      <c r="I86" s="88" t="s">
        <v>1004</v>
      </c>
      <c r="J86" s="88" t="s">
        <v>335</v>
      </c>
      <c r="K86" s="92" t="s">
        <v>1005</v>
      </c>
      <c r="L86" s="93"/>
      <c r="M86" s="94" t="s">
        <v>2248</v>
      </c>
      <c r="N86" s="88" t="s">
        <v>355</v>
      </c>
      <c r="O86" s="88" t="s">
        <v>98</v>
      </c>
      <c r="P86" s="88" t="s">
        <v>800</v>
      </c>
      <c r="Q86" s="88" t="s">
        <v>139</v>
      </c>
      <c r="R86" s="88" t="s">
        <v>119</v>
      </c>
      <c r="S86" s="88" t="s">
        <v>331</v>
      </c>
      <c r="T86" s="88" t="s">
        <v>331</v>
      </c>
      <c r="U86" s="88" t="s">
        <v>130</v>
      </c>
      <c r="V86" s="88" t="s">
        <v>331</v>
      </c>
      <c r="W86" s="88" t="s">
        <v>356</v>
      </c>
      <c r="X86" s="88" t="s">
        <v>130</v>
      </c>
      <c r="Y86" s="88" t="s">
        <v>331</v>
      </c>
      <c r="Z86" s="88" t="s">
        <v>512</v>
      </c>
      <c r="AA86" s="95"/>
      <c r="AB86" s="88" t="s">
        <v>1006</v>
      </c>
      <c r="AC86" s="88" t="s">
        <v>1007</v>
      </c>
      <c r="AD86" s="88" t="s">
        <v>342</v>
      </c>
      <c r="AE86" s="88" t="s">
        <v>359</v>
      </c>
      <c r="AF86" s="88" t="s">
        <v>130</v>
      </c>
      <c r="AG86" s="88" t="s">
        <v>361</v>
      </c>
      <c r="AH86" s="88" t="s">
        <v>1008</v>
      </c>
      <c r="AI86" s="88" t="s">
        <v>1009</v>
      </c>
      <c r="AJ86" s="95"/>
      <c r="AK86" s="88" t="s">
        <v>1010</v>
      </c>
      <c r="AL86" s="88" t="s">
        <v>1011</v>
      </c>
      <c r="AM86" s="95"/>
      <c r="AN86" s="96" t="s">
        <v>1012</v>
      </c>
      <c r="AO86" s="84"/>
    </row>
    <row r="87" spans="1:41" s="85" customFormat="1" x14ac:dyDescent="0.25">
      <c r="A87" s="88" t="s">
        <v>270</v>
      </c>
      <c r="B87" s="88" t="s">
        <v>1013</v>
      </c>
      <c r="C87" s="88" t="s">
        <v>252</v>
      </c>
      <c r="D87" s="88" t="s">
        <v>43</v>
      </c>
      <c r="E87" s="88" t="s">
        <v>351</v>
      </c>
      <c r="F87" s="88" t="s">
        <v>332</v>
      </c>
      <c r="G87" s="88">
        <v>2007</v>
      </c>
      <c r="H87" s="88">
        <v>2020</v>
      </c>
      <c r="I87" s="88" t="s">
        <v>1014</v>
      </c>
      <c r="J87" s="88" t="s">
        <v>335</v>
      </c>
      <c r="K87" s="92" t="s">
        <v>1015</v>
      </c>
      <c r="L87" s="93"/>
      <c r="M87" s="94" t="s">
        <v>2272</v>
      </c>
      <c r="N87" s="88" t="s">
        <v>1016</v>
      </c>
      <c r="O87" s="88" t="s">
        <v>98</v>
      </c>
      <c r="P87" s="88" t="s">
        <v>75</v>
      </c>
      <c r="Q87" s="88" t="s">
        <v>139</v>
      </c>
      <c r="R87" s="88" t="s">
        <v>1017</v>
      </c>
      <c r="S87" s="88" t="s">
        <v>2255</v>
      </c>
      <c r="T87" s="88" t="s">
        <v>331</v>
      </c>
      <c r="U87" s="88" t="s">
        <v>130</v>
      </c>
      <c r="V87" s="88" t="s">
        <v>331</v>
      </c>
      <c r="W87" s="88" t="s">
        <v>356</v>
      </c>
      <c r="X87" s="88" t="s">
        <v>130</v>
      </c>
      <c r="Y87" s="88" t="s">
        <v>331</v>
      </c>
      <c r="Z87" s="88" t="s">
        <v>512</v>
      </c>
      <c r="AA87" s="95"/>
      <c r="AB87" s="88" t="s">
        <v>1018</v>
      </c>
      <c r="AC87" s="88" t="s">
        <v>1019</v>
      </c>
      <c r="AD87" s="88" t="s">
        <v>342</v>
      </c>
      <c r="AE87" s="88" t="s">
        <v>359</v>
      </c>
      <c r="AF87" s="88" t="s">
        <v>130</v>
      </c>
      <c r="AG87" s="88" t="s">
        <v>361</v>
      </c>
      <c r="AH87" s="88" t="s">
        <v>1020</v>
      </c>
      <c r="AI87" s="88" t="s">
        <v>1021</v>
      </c>
      <c r="AJ87" s="95"/>
      <c r="AK87" s="88" t="s">
        <v>339</v>
      </c>
      <c r="AL87" s="88" t="s">
        <v>1022</v>
      </c>
      <c r="AM87" s="95"/>
      <c r="AN87" s="96" t="s">
        <v>1023</v>
      </c>
      <c r="AO87" s="84"/>
    </row>
    <row r="88" spans="1:41" s="85" customFormat="1" x14ac:dyDescent="0.25">
      <c r="A88" s="88" t="s">
        <v>270</v>
      </c>
      <c r="B88" s="88" t="s">
        <v>1024</v>
      </c>
      <c r="C88" s="88" t="s">
        <v>252</v>
      </c>
      <c r="D88" s="88" t="s">
        <v>43</v>
      </c>
      <c r="E88" s="88" t="s">
        <v>351</v>
      </c>
      <c r="F88" s="88" t="s">
        <v>332</v>
      </c>
      <c r="G88" s="88">
        <v>2020</v>
      </c>
      <c r="H88" s="88" t="s">
        <v>333</v>
      </c>
      <c r="I88" s="88" t="s">
        <v>997</v>
      </c>
      <c r="J88" s="88" t="s">
        <v>335</v>
      </c>
      <c r="K88" s="92" t="s">
        <v>1025</v>
      </c>
      <c r="L88" s="93"/>
      <c r="M88" s="94" t="s">
        <v>2248</v>
      </c>
      <c r="N88" s="88" t="s">
        <v>1026</v>
      </c>
      <c r="O88" s="88" t="s">
        <v>1027</v>
      </c>
      <c r="P88" s="88" t="s">
        <v>800</v>
      </c>
      <c r="Q88" s="88" t="s">
        <v>139</v>
      </c>
      <c r="R88" s="88" t="s">
        <v>1028</v>
      </c>
      <c r="S88" s="88" t="s">
        <v>331</v>
      </c>
      <c r="T88" s="88" t="s">
        <v>331</v>
      </c>
      <c r="U88" s="88" t="s">
        <v>130</v>
      </c>
      <c r="V88" s="88" t="s">
        <v>331</v>
      </c>
      <c r="W88" s="88" t="s">
        <v>351</v>
      </c>
      <c r="X88" s="88" t="s">
        <v>338</v>
      </c>
      <c r="Y88" s="88" t="s">
        <v>331</v>
      </c>
      <c r="Z88" s="88" t="s">
        <v>512</v>
      </c>
      <c r="AA88" s="95"/>
      <c r="AB88" s="88" t="s">
        <v>1029</v>
      </c>
      <c r="AC88" s="88" t="s">
        <v>1030</v>
      </c>
      <c r="AD88" s="88" t="s">
        <v>342</v>
      </c>
      <c r="AE88" s="88" t="s">
        <v>359</v>
      </c>
      <c r="AF88" s="88" t="s">
        <v>130</v>
      </c>
      <c r="AG88" s="88" t="s">
        <v>1031</v>
      </c>
      <c r="AH88" s="88" t="s">
        <v>1032</v>
      </c>
      <c r="AI88" s="88" t="s">
        <v>346</v>
      </c>
      <c r="AJ88" s="95"/>
      <c r="AK88" s="88" t="s">
        <v>339</v>
      </c>
      <c r="AL88" s="88" t="s">
        <v>339</v>
      </c>
      <c r="AM88" s="95"/>
      <c r="AN88" s="96" t="s">
        <v>1033</v>
      </c>
      <c r="AO88" s="84"/>
    </row>
    <row r="89" spans="1:41" s="85" customFormat="1" x14ac:dyDescent="0.25">
      <c r="A89" s="88" t="s">
        <v>270</v>
      </c>
      <c r="B89" s="88" t="s">
        <v>1034</v>
      </c>
      <c r="C89" s="88" t="s">
        <v>252</v>
      </c>
      <c r="D89" s="88" t="s">
        <v>43</v>
      </c>
      <c r="E89" s="88" t="s">
        <v>351</v>
      </c>
      <c r="F89" s="88" t="s">
        <v>332</v>
      </c>
      <c r="G89" s="88">
        <v>2019</v>
      </c>
      <c r="H89" s="88">
        <v>2024</v>
      </c>
      <c r="I89" s="88" t="s">
        <v>353</v>
      </c>
      <c r="J89" s="88" t="s">
        <v>351</v>
      </c>
      <c r="K89" s="92" t="s">
        <v>1035</v>
      </c>
      <c r="L89" s="93"/>
      <c r="M89" s="94" t="s">
        <v>2272</v>
      </c>
      <c r="N89" s="88" t="s">
        <v>460</v>
      </c>
      <c r="O89" s="88" t="s">
        <v>98</v>
      </c>
      <c r="P89" s="88" t="s">
        <v>134</v>
      </c>
      <c r="Q89" s="88" t="s">
        <v>139</v>
      </c>
      <c r="R89" s="88" t="s">
        <v>138</v>
      </c>
      <c r="S89" s="88" t="s">
        <v>2256</v>
      </c>
      <c r="T89" s="88" t="s">
        <v>331</v>
      </c>
      <c r="U89" s="88" t="s">
        <v>130</v>
      </c>
      <c r="V89" s="88" t="s">
        <v>331</v>
      </c>
      <c r="W89" s="88" t="s">
        <v>351</v>
      </c>
      <c r="X89" s="88" t="s">
        <v>425</v>
      </c>
      <c r="Y89" s="88" t="s">
        <v>331</v>
      </c>
      <c r="Z89" s="88" t="s">
        <v>339</v>
      </c>
      <c r="AA89" s="95"/>
      <c r="AB89" s="88" t="s">
        <v>1036</v>
      </c>
      <c r="AC89" s="88" t="s">
        <v>1037</v>
      </c>
      <c r="AD89" s="88" t="s">
        <v>342</v>
      </c>
      <c r="AE89" s="88" t="s">
        <v>359</v>
      </c>
      <c r="AF89" s="88" t="s">
        <v>130</v>
      </c>
      <c r="AG89" s="88" t="s">
        <v>1038</v>
      </c>
      <c r="AH89" s="88" t="s">
        <v>375</v>
      </c>
      <c r="AI89" s="88" t="s">
        <v>346</v>
      </c>
      <c r="AJ89" s="95"/>
      <c r="AK89" s="88" t="s">
        <v>339</v>
      </c>
      <c r="AL89" s="88" t="s">
        <v>339</v>
      </c>
      <c r="AM89" s="95"/>
      <c r="AN89" s="96" t="s">
        <v>1039</v>
      </c>
      <c r="AO89" s="84"/>
    </row>
    <row r="90" spans="1:41" s="85" customFormat="1" x14ac:dyDescent="0.25">
      <c r="A90" s="88" t="s">
        <v>270</v>
      </c>
      <c r="B90" s="88" t="s">
        <v>1040</v>
      </c>
      <c r="C90" s="88" t="s">
        <v>252</v>
      </c>
      <c r="D90" s="88" t="s">
        <v>43</v>
      </c>
      <c r="E90" s="88" t="s">
        <v>351</v>
      </c>
      <c r="F90" s="88" t="s">
        <v>332</v>
      </c>
      <c r="G90" s="88">
        <v>2019</v>
      </c>
      <c r="H90" s="88">
        <v>2024</v>
      </c>
      <c r="I90" s="88" t="s">
        <v>353</v>
      </c>
      <c r="J90" s="88" t="s">
        <v>351</v>
      </c>
      <c r="K90" s="92" t="s">
        <v>1035</v>
      </c>
      <c r="L90" s="93"/>
      <c r="M90" s="94" t="s">
        <v>2272</v>
      </c>
      <c r="N90" s="88" t="s">
        <v>85</v>
      </c>
      <c r="O90" s="88" t="s">
        <v>336</v>
      </c>
      <c r="P90" s="88" t="s">
        <v>134</v>
      </c>
      <c r="Q90" s="88" t="s">
        <v>139</v>
      </c>
      <c r="R90" s="88" t="s">
        <v>138</v>
      </c>
      <c r="S90" s="88" t="s">
        <v>2256</v>
      </c>
      <c r="T90" s="88" t="s">
        <v>331</v>
      </c>
      <c r="U90" s="88" t="s">
        <v>130</v>
      </c>
      <c r="V90" s="88" t="s">
        <v>331</v>
      </c>
      <c r="W90" s="88" t="s">
        <v>351</v>
      </c>
      <c r="X90" s="88" t="s">
        <v>425</v>
      </c>
      <c r="Y90" s="88" t="s">
        <v>331</v>
      </c>
      <c r="Z90" s="88" t="s">
        <v>339</v>
      </c>
      <c r="AA90" s="95"/>
      <c r="AB90" s="88" t="s">
        <v>1041</v>
      </c>
      <c r="AC90" s="88" t="s">
        <v>1042</v>
      </c>
      <c r="AD90" s="88" t="s">
        <v>342</v>
      </c>
      <c r="AE90" s="88" t="s">
        <v>359</v>
      </c>
      <c r="AF90" s="88" t="s">
        <v>130</v>
      </c>
      <c r="AG90" s="88" t="s">
        <v>1043</v>
      </c>
      <c r="AH90" s="88" t="s">
        <v>375</v>
      </c>
      <c r="AI90" s="88" t="s">
        <v>346</v>
      </c>
      <c r="AJ90" s="95"/>
      <c r="AK90" s="88" t="s">
        <v>339</v>
      </c>
      <c r="AL90" s="88" t="s">
        <v>339</v>
      </c>
      <c r="AM90" s="95"/>
      <c r="AN90" s="96" t="s">
        <v>1039</v>
      </c>
      <c r="AO90" s="84"/>
    </row>
    <row r="91" spans="1:41" s="85" customFormat="1" x14ac:dyDescent="0.25">
      <c r="A91" s="88" t="s">
        <v>270</v>
      </c>
      <c r="B91" s="88" t="s">
        <v>1044</v>
      </c>
      <c r="C91" s="88" t="s">
        <v>252</v>
      </c>
      <c r="D91" s="88" t="s">
        <v>43</v>
      </c>
      <c r="E91" s="88" t="s">
        <v>351</v>
      </c>
      <c r="F91" s="88" t="s">
        <v>332</v>
      </c>
      <c r="G91" s="88">
        <v>2020</v>
      </c>
      <c r="H91" s="88" t="s">
        <v>333</v>
      </c>
      <c r="I91" s="88" t="s">
        <v>353</v>
      </c>
      <c r="J91" s="88" t="s">
        <v>351</v>
      </c>
      <c r="K91" s="92" t="s">
        <v>1045</v>
      </c>
      <c r="L91" s="93"/>
      <c r="M91" s="119" t="s">
        <v>2272</v>
      </c>
      <c r="N91" s="88" t="s">
        <v>896</v>
      </c>
      <c r="O91" s="88" t="s">
        <v>98</v>
      </c>
      <c r="P91" s="88" t="s">
        <v>81</v>
      </c>
      <c r="Q91" s="88" t="s">
        <v>139</v>
      </c>
      <c r="R91" s="88" t="s">
        <v>138</v>
      </c>
      <c r="S91" s="88" t="s">
        <v>331</v>
      </c>
      <c r="T91" s="88" t="s">
        <v>331</v>
      </c>
      <c r="U91" s="88" t="s">
        <v>130</v>
      </c>
      <c r="V91" s="88" t="s">
        <v>351</v>
      </c>
      <c r="W91" s="88" t="s">
        <v>356</v>
      </c>
      <c r="X91" s="88" t="s">
        <v>130</v>
      </c>
      <c r="Y91" s="88" t="s">
        <v>331</v>
      </c>
      <c r="Z91" s="88" t="s">
        <v>339</v>
      </c>
      <c r="AA91" s="95"/>
      <c r="AB91" s="88" t="s">
        <v>1046</v>
      </c>
      <c r="AC91" s="88" t="s">
        <v>1047</v>
      </c>
      <c r="AD91" s="88" t="s">
        <v>1048</v>
      </c>
      <c r="AE91" s="88" t="s">
        <v>359</v>
      </c>
      <c r="AF91" s="88" t="s">
        <v>130</v>
      </c>
      <c r="AG91" s="88" t="s">
        <v>361</v>
      </c>
      <c r="AH91" s="88" t="s">
        <v>375</v>
      </c>
      <c r="AI91" s="88" t="s">
        <v>346</v>
      </c>
      <c r="AJ91" s="95"/>
      <c r="AK91" s="88" t="s">
        <v>339</v>
      </c>
      <c r="AL91" s="88" t="s">
        <v>339</v>
      </c>
      <c r="AM91" s="95"/>
      <c r="AN91" s="96" t="s">
        <v>1049</v>
      </c>
      <c r="AO91" s="84"/>
    </row>
    <row r="92" spans="1:41" s="85" customFormat="1" x14ac:dyDescent="0.25">
      <c r="A92" s="88" t="s">
        <v>270</v>
      </c>
      <c r="B92" s="88" t="s">
        <v>1050</v>
      </c>
      <c r="C92" s="88" t="s">
        <v>252</v>
      </c>
      <c r="D92" s="88" t="s">
        <v>43</v>
      </c>
      <c r="E92" s="88" t="s">
        <v>351</v>
      </c>
      <c r="F92" s="88" t="s">
        <v>332</v>
      </c>
      <c r="G92" s="88">
        <v>2018</v>
      </c>
      <c r="H92" s="88">
        <v>2023</v>
      </c>
      <c r="I92" s="88" t="s">
        <v>1051</v>
      </c>
      <c r="J92" s="88" t="s">
        <v>351</v>
      </c>
      <c r="K92" s="92" t="s">
        <v>1052</v>
      </c>
      <c r="L92" s="93"/>
      <c r="M92" s="119" t="s">
        <v>2272</v>
      </c>
      <c r="N92" s="88" t="s">
        <v>1053</v>
      </c>
      <c r="O92" s="88" t="s">
        <v>98</v>
      </c>
      <c r="P92" s="88" t="s">
        <v>81</v>
      </c>
      <c r="Q92" s="88" t="s">
        <v>76</v>
      </c>
      <c r="R92" s="88" t="s">
        <v>138</v>
      </c>
      <c r="S92" s="88" t="s">
        <v>130</v>
      </c>
      <c r="T92" s="88" t="s">
        <v>331</v>
      </c>
      <c r="U92" s="88" t="s">
        <v>130</v>
      </c>
      <c r="V92" s="88" t="s">
        <v>351</v>
      </c>
      <c r="W92" s="88" t="s">
        <v>356</v>
      </c>
      <c r="X92" s="88" t="s">
        <v>130</v>
      </c>
      <c r="Y92" s="88" t="s">
        <v>331</v>
      </c>
      <c r="Z92" s="88" t="s">
        <v>512</v>
      </c>
      <c r="AA92" s="95"/>
      <c r="AB92" s="88" t="s">
        <v>1054</v>
      </c>
      <c r="AC92" s="88" t="s">
        <v>1055</v>
      </c>
      <c r="AD92" s="88" t="s">
        <v>1056</v>
      </c>
      <c r="AE92" s="88" t="s">
        <v>359</v>
      </c>
      <c r="AF92" s="88" t="s">
        <v>677</v>
      </c>
      <c r="AG92" s="88" t="s">
        <v>361</v>
      </c>
      <c r="AH92" s="88" t="s">
        <v>375</v>
      </c>
      <c r="AI92" s="88" t="s">
        <v>1057</v>
      </c>
      <c r="AJ92" s="95"/>
      <c r="AK92" s="88" t="s">
        <v>339</v>
      </c>
      <c r="AL92" s="88" t="s">
        <v>339</v>
      </c>
      <c r="AM92" s="95"/>
      <c r="AN92" s="96" t="s">
        <v>1058</v>
      </c>
      <c r="AO92" s="84"/>
    </row>
    <row r="93" spans="1:41" s="85" customFormat="1" x14ac:dyDescent="0.25">
      <c r="A93" s="88" t="s">
        <v>270</v>
      </c>
      <c r="B93" s="88" t="s">
        <v>1059</v>
      </c>
      <c r="C93" s="88" t="s">
        <v>252</v>
      </c>
      <c r="D93" s="88" t="s">
        <v>43</v>
      </c>
      <c r="E93" s="88" t="s">
        <v>351</v>
      </c>
      <c r="F93" s="88" t="s">
        <v>332</v>
      </c>
      <c r="G93" s="88">
        <v>2018</v>
      </c>
      <c r="H93" s="88">
        <v>2023</v>
      </c>
      <c r="I93" s="88" t="s">
        <v>1051</v>
      </c>
      <c r="J93" s="88" t="s">
        <v>351</v>
      </c>
      <c r="K93" s="92" t="s">
        <v>1052</v>
      </c>
      <c r="L93" s="93"/>
      <c r="M93" s="94" t="s">
        <v>2272</v>
      </c>
      <c r="N93" s="88" t="s">
        <v>1060</v>
      </c>
      <c r="O93" s="88" t="s">
        <v>336</v>
      </c>
      <c r="P93" s="88" t="s">
        <v>81</v>
      </c>
      <c r="Q93" s="88" t="s">
        <v>76</v>
      </c>
      <c r="R93" s="88" t="s">
        <v>138</v>
      </c>
      <c r="S93" s="88" t="s">
        <v>1050</v>
      </c>
      <c r="T93" s="88" t="s">
        <v>331</v>
      </c>
      <c r="U93" s="88" t="s">
        <v>130</v>
      </c>
      <c r="V93" s="88" t="s">
        <v>351</v>
      </c>
      <c r="W93" s="88" t="s">
        <v>356</v>
      </c>
      <c r="X93" s="88" t="s">
        <v>130</v>
      </c>
      <c r="Y93" s="88" t="s">
        <v>331</v>
      </c>
      <c r="Z93" s="88" t="s">
        <v>512</v>
      </c>
      <c r="AA93" s="95"/>
      <c r="AB93" s="88" t="s">
        <v>1061</v>
      </c>
      <c r="AC93" s="88" t="s">
        <v>1062</v>
      </c>
      <c r="AD93" s="88" t="s">
        <v>1056</v>
      </c>
      <c r="AE93" s="88" t="s">
        <v>359</v>
      </c>
      <c r="AF93" s="88" t="s">
        <v>130</v>
      </c>
      <c r="AG93" s="88" t="s">
        <v>361</v>
      </c>
      <c r="AH93" s="88" t="s">
        <v>375</v>
      </c>
      <c r="AI93" s="88" t="s">
        <v>1057</v>
      </c>
      <c r="AJ93" s="95"/>
      <c r="AK93" s="88" t="s">
        <v>339</v>
      </c>
      <c r="AL93" s="88" t="s">
        <v>339</v>
      </c>
      <c r="AM93" s="95"/>
      <c r="AN93" s="96" t="s">
        <v>1058</v>
      </c>
      <c r="AO93" s="84"/>
    </row>
    <row r="94" spans="1:41" s="85" customFormat="1" x14ac:dyDescent="0.25">
      <c r="A94" s="88" t="s">
        <v>271</v>
      </c>
      <c r="B94" s="88" t="s">
        <v>1063</v>
      </c>
      <c r="C94" s="88" t="s">
        <v>30</v>
      </c>
      <c r="D94" s="88" t="s">
        <v>43</v>
      </c>
      <c r="E94" s="88" t="s">
        <v>351</v>
      </c>
      <c r="F94" s="88" t="s">
        <v>387</v>
      </c>
      <c r="G94" s="88">
        <v>2013</v>
      </c>
      <c r="H94" s="88">
        <v>2017</v>
      </c>
      <c r="I94" s="88" t="s">
        <v>1064</v>
      </c>
      <c r="J94" s="88" t="s">
        <v>335</v>
      </c>
      <c r="K94" s="92" t="s">
        <v>1065</v>
      </c>
      <c r="L94" s="93"/>
      <c r="M94" s="94" t="s">
        <v>2270</v>
      </c>
      <c r="N94" s="88" t="s">
        <v>1066</v>
      </c>
      <c r="O94" s="88" t="s">
        <v>1067</v>
      </c>
      <c r="P94" s="88" t="s">
        <v>1068</v>
      </c>
      <c r="Q94" s="88" t="s">
        <v>1069</v>
      </c>
      <c r="R94" s="88" t="s">
        <v>1070</v>
      </c>
      <c r="S94" s="88" t="s">
        <v>331</v>
      </c>
      <c r="T94" s="88" t="s">
        <v>331</v>
      </c>
      <c r="U94" s="88" t="s">
        <v>130</v>
      </c>
      <c r="V94" s="88" t="s">
        <v>331</v>
      </c>
      <c r="W94" s="88" t="s">
        <v>356</v>
      </c>
      <c r="X94" s="88" t="s">
        <v>130</v>
      </c>
      <c r="Y94" s="88" t="s">
        <v>339</v>
      </c>
      <c r="Z94" s="88" t="s">
        <v>380</v>
      </c>
      <c r="AA94" s="95"/>
      <c r="AB94" s="88" t="s">
        <v>1071</v>
      </c>
      <c r="AC94" s="88" t="s">
        <v>1072</v>
      </c>
      <c r="AD94" s="88" t="s">
        <v>1073</v>
      </c>
      <c r="AE94" s="88" t="s">
        <v>359</v>
      </c>
      <c r="AF94" s="88" t="s">
        <v>130</v>
      </c>
      <c r="AG94" s="88" t="s">
        <v>361</v>
      </c>
      <c r="AH94" s="88" t="s">
        <v>1074</v>
      </c>
      <c r="AI94" s="88" t="s">
        <v>346</v>
      </c>
      <c r="AJ94" s="95"/>
      <c r="AK94" s="88" t="s">
        <v>339</v>
      </c>
      <c r="AL94" s="88" t="s">
        <v>339</v>
      </c>
      <c r="AM94" s="95"/>
      <c r="AN94" s="96" t="s">
        <v>1075</v>
      </c>
      <c r="AO94" s="84"/>
    </row>
    <row r="95" spans="1:41" s="85" customFormat="1" x14ac:dyDescent="0.25">
      <c r="A95" s="88" t="s">
        <v>271</v>
      </c>
      <c r="B95" s="88" t="s">
        <v>1076</v>
      </c>
      <c r="C95" s="88" t="s">
        <v>30</v>
      </c>
      <c r="D95" s="88" t="s">
        <v>43</v>
      </c>
      <c r="E95" s="88" t="s">
        <v>351</v>
      </c>
      <c r="F95" s="88" t="s">
        <v>332</v>
      </c>
      <c r="G95" s="88">
        <v>2012</v>
      </c>
      <c r="H95" s="88">
        <v>2017</v>
      </c>
      <c r="I95" s="88" t="s">
        <v>1064</v>
      </c>
      <c r="J95" s="88" t="s">
        <v>335</v>
      </c>
      <c r="K95" s="92" t="s">
        <v>1077</v>
      </c>
      <c r="L95" s="93"/>
      <c r="M95" s="94" t="s">
        <v>2270</v>
      </c>
      <c r="N95" s="88" t="s">
        <v>476</v>
      </c>
      <c r="O95" s="88" t="s">
        <v>1078</v>
      </c>
      <c r="P95" s="88" t="s">
        <v>87</v>
      </c>
      <c r="Q95" s="88" t="s">
        <v>1079</v>
      </c>
      <c r="R95" s="88" t="s">
        <v>138</v>
      </c>
      <c r="S95" s="88" t="s">
        <v>2257</v>
      </c>
      <c r="T95" s="88" t="s">
        <v>331</v>
      </c>
      <c r="U95" s="88" t="s">
        <v>130</v>
      </c>
      <c r="V95" s="88" t="s">
        <v>351</v>
      </c>
      <c r="W95" s="88" t="s">
        <v>356</v>
      </c>
      <c r="X95" s="88" t="s">
        <v>130</v>
      </c>
      <c r="Y95" s="88" t="s">
        <v>339</v>
      </c>
      <c r="Z95" s="88" t="s">
        <v>380</v>
      </c>
      <c r="AA95" s="95"/>
      <c r="AB95" s="88" t="s">
        <v>1080</v>
      </c>
      <c r="AC95" s="88" t="s">
        <v>1081</v>
      </c>
      <c r="AD95" s="88" t="s">
        <v>1082</v>
      </c>
      <c r="AE95" s="88" t="s">
        <v>359</v>
      </c>
      <c r="AF95" s="88" t="s">
        <v>130</v>
      </c>
      <c r="AG95" s="88" t="s">
        <v>361</v>
      </c>
      <c r="AH95" s="88" t="s">
        <v>375</v>
      </c>
      <c r="AI95" s="88" t="s">
        <v>544</v>
      </c>
      <c r="AJ95" s="95"/>
      <c r="AK95" s="88" t="s">
        <v>529</v>
      </c>
      <c r="AL95" s="88" t="s">
        <v>339</v>
      </c>
      <c r="AM95" s="95"/>
      <c r="AN95" s="88" t="s">
        <v>1083</v>
      </c>
      <c r="AO95" s="84"/>
    </row>
    <row r="96" spans="1:41" s="85" customFormat="1" x14ac:dyDescent="0.25">
      <c r="A96" s="88" t="s">
        <v>271</v>
      </c>
      <c r="B96" s="88" t="s">
        <v>1084</v>
      </c>
      <c r="C96" s="88" t="s">
        <v>30</v>
      </c>
      <c r="D96" s="88" t="s">
        <v>43</v>
      </c>
      <c r="E96" s="88" t="s">
        <v>351</v>
      </c>
      <c r="F96" s="88" t="s">
        <v>332</v>
      </c>
      <c r="G96" s="88">
        <v>2017</v>
      </c>
      <c r="H96" s="88">
        <v>2020</v>
      </c>
      <c r="I96" s="88" t="s">
        <v>1064</v>
      </c>
      <c r="J96" s="88" t="s">
        <v>351</v>
      </c>
      <c r="K96" s="92" t="s">
        <v>877</v>
      </c>
      <c r="L96" s="93"/>
      <c r="M96" s="94" t="s">
        <v>2272</v>
      </c>
      <c r="N96" s="88" t="s">
        <v>1085</v>
      </c>
      <c r="O96" s="88" t="s">
        <v>408</v>
      </c>
      <c r="P96" s="88" t="s">
        <v>1086</v>
      </c>
      <c r="Q96" s="88" t="s">
        <v>1087</v>
      </c>
      <c r="R96" s="88" t="s">
        <v>1088</v>
      </c>
      <c r="S96" s="88" t="s">
        <v>2257</v>
      </c>
      <c r="T96" s="88" t="s">
        <v>331</v>
      </c>
      <c r="U96" s="88" t="s">
        <v>523</v>
      </c>
      <c r="V96" s="88" t="s">
        <v>351</v>
      </c>
      <c r="W96" s="88" t="s">
        <v>356</v>
      </c>
      <c r="X96" s="88" t="s">
        <v>130</v>
      </c>
      <c r="Y96" s="88" t="s">
        <v>339</v>
      </c>
      <c r="Z96" s="88" t="s">
        <v>380</v>
      </c>
      <c r="AA96" s="95"/>
      <c r="AB96" s="88" t="s">
        <v>1089</v>
      </c>
      <c r="AC96" s="88" t="s">
        <v>1090</v>
      </c>
      <c r="AD96" s="88" t="s">
        <v>342</v>
      </c>
      <c r="AE96" s="88" t="s">
        <v>359</v>
      </c>
      <c r="AF96" s="88" t="s">
        <v>130</v>
      </c>
      <c r="AG96" s="88" t="s">
        <v>361</v>
      </c>
      <c r="AH96" s="88" t="s">
        <v>375</v>
      </c>
      <c r="AI96" s="88" t="s">
        <v>346</v>
      </c>
      <c r="AJ96" s="95"/>
      <c r="AK96" s="88" t="s">
        <v>1091</v>
      </c>
      <c r="AL96" s="88" t="s">
        <v>339</v>
      </c>
      <c r="AM96" s="95"/>
      <c r="AN96" s="96" t="s">
        <v>1092</v>
      </c>
      <c r="AO96" s="84"/>
    </row>
    <row r="97" spans="1:41" s="85" customFormat="1" x14ac:dyDescent="0.25">
      <c r="A97" s="88" t="s">
        <v>271</v>
      </c>
      <c r="B97" s="88" t="s">
        <v>1093</v>
      </c>
      <c r="C97" s="88" t="s">
        <v>30</v>
      </c>
      <c r="D97" s="88" t="s">
        <v>43</v>
      </c>
      <c r="E97" s="88" t="s">
        <v>351</v>
      </c>
      <c r="F97" s="88" t="s">
        <v>387</v>
      </c>
      <c r="G97" s="88">
        <v>2014</v>
      </c>
      <c r="H97" s="88">
        <v>2020</v>
      </c>
      <c r="I97" s="88" t="s">
        <v>1094</v>
      </c>
      <c r="J97" s="88" t="s">
        <v>351</v>
      </c>
      <c r="K97" s="92" t="s">
        <v>1095</v>
      </c>
      <c r="L97" s="93"/>
      <c r="M97" s="94" t="s">
        <v>2270</v>
      </c>
      <c r="N97" s="88" t="s">
        <v>121</v>
      </c>
      <c r="O97" s="88" t="s">
        <v>1096</v>
      </c>
      <c r="P97" s="88" t="s">
        <v>1097</v>
      </c>
      <c r="Q97" s="88" t="s">
        <v>1098</v>
      </c>
      <c r="R97" s="88" t="s">
        <v>1099</v>
      </c>
      <c r="S97" s="88" t="s">
        <v>331</v>
      </c>
      <c r="T97" s="88" t="s">
        <v>331</v>
      </c>
      <c r="U97" s="88" t="s">
        <v>130</v>
      </c>
      <c r="V97" s="88" t="s">
        <v>339</v>
      </c>
      <c r="W97" s="88" t="s">
        <v>339</v>
      </c>
      <c r="X97" s="88" t="s">
        <v>130</v>
      </c>
      <c r="Y97" s="88" t="s">
        <v>351</v>
      </c>
      <c r="Z97" s="88" t="s">
        <v>380</v>
      </c>
      <c r="AA97" s="95"/>
      <c r="AB97" s="88" t="s">
        <v>1100</v>
      </c>
      <c r="AC97" s="88" t="s">
        <v>1101</v>
      </c>
      <c r="AD97" s="88" t="s">
        <v>342</v>
      </c>
      <c r="AE97" s="88" t="s">
        <v>359</v>
      </c>
      <c r="AF97" s="88" t="s">
        <v>130</v>
      </c>
      <c r="AG97" s="88" t="s">
        <v>542</v>
      </c>
      <c r="AH97" s="88" t="s">
        <v>375</v>
      </c>
      <c r="AI97" s="88" t="s">
        <v>346</v>
      </c>
      <c r="AJ97" s="95"/>
      <c r="AK97" s="88" t="s">
        <v>339</v>
      </c>
      <c r="AL97" s="88" t="s">
        <v>339</v>
      </c>
      <c r="AM97" s="95"/>
      <c r="AN97" s="96" t="s">
        <v>1102</v>
      </c>
      <c r="AO97" s="84"/>
    </row>
    <row r="98" spans="1:41" s="85" customFormat="1" x14ac:dyDescent="0.25">
      <c r="A98" s="88" t="s">
        <v>271</v>
      </c>
      <c r="B98" s="88" t="s">
        <v>1103</v>
      </c>
      <c r="C98" s="88" t="s">
        <v>30</v>
      </c>
      <c r="D98" s="88" t="s">
        <v>43</v>
      </c>
      <c r="E98" s="88" t="s">
        <v>351</v>
      </c>
      <c r="F98" s="88" t="s">
        <v>387</v>
      </c>
      <c r="G98" s="88">
        <v>2008</v>
      </c>
      <c r="H98" s="88">
        <v>2015</v>
      </c>
      <c r="I98" s="88" t="s">
        <v>1104</v>
      </c>
      <c r="J98" s="88" t="s">
        <v>351</v>
      </c>
      <c r="K98" s="92" t="s">
        <v>1105</v>
      </c>
      <c r="L98" s="93"/>
      <c r="M98" s="94" t="s">
        <v>2270</v>
      </c>
      <c r="N98" s="88" t="s">
        <v>476</v>
      </c>
      <c r="O98" s="88" t="s">
        <v>1106</v>
      </c>
      <c r="P98" s="88" t="s">
        <v>520</v>
      </c>
      <c r="Q98" s="88" t="s">
        <v>1107</v>
      </c>
      <c r="R98" s="88" t="s">
        <v>1108</v>
      </c>
      <c r="S98" s="88" t="s">
        <v>2257</v>
      </c>
      <c r="T98" s="88" t="s">
        <v>331</v>
      </c>
      <c r="U98" s="88" t="s">
        <v>130</v>
      </c>
      <c r="V98" s="88" t="s">
        <v>339</v>
      </c>
      <c r="W98" s="88" t="s">
        <v>339</v>
      </c>
      <c r="X98" s="88" t="s">
        <v>130</v>
      </c>
      <c r="Y98" s="88" t="s">
        <v>351</v>
      </c>
      <c r="Z98" s="88" t="s">
        <v>380</v>
      </c>
      <c r="AA98" s="95"/>
      <c r="AB98" s="88" t="s">
        <v>1109</v>
      </c>
      <c r="AC98" s="88" t="s">
        <v>1110</v>
      </c>
      <c r="AD98" s="88" t="s">
        <v>342</v>
      </c>
      <c r="AE98" s="88" t="s">
        <v>751</v>
      </c>
      <c r="AF98" s="88" t="s">
        <v>1111</v>
      </c>
      <c r="AG98" s="88" t="s">
        <v>361</v>
      </c>
      <c r="AH98" s="88" t="s">
        <v>375</v>
      </c>
      <c r="AI98" s="88" t="s">
        <v>346</v>
      </c>
      <c r="AJ98" s="95"/>
      <c r="AK98" s="88" t="s">
        <v>1112</v>
      </c>
      <c r="AL98" s="88" t="s">
        <v>339</v>
      </c>
      <c r="AM98" s="95"/>
      <c r="AN98" s="96" t="s">
        <v>1113</v>
      </c>
      <c r="AO98" s="84"/>
    </row>
    <row r="99" spans="1:41" s="85" customFormat="1" x14ac:dyDescent="0.25">
      <c r="A99" s="88" t="s">
        <v>1114</v>
      </c>
      <c r="B99" s="88" t="s">
        <v>1115</v>
      </c>
      <c r="C99" s="88" t="s">
        <v>30</v>
      </c>
      <c r="D99" s="88" t="s">
        <v>43</v>
      </c>
      <c r="E99" s="88" t="s">
        <v>351</v>
      </c>
      <c r="F99" s="88" t="s">
        <v>332</v>
      </c>
      <c r="G99" s="88">
        <v>2013</v>
      </c>
      <c r="H99" s="88" t="s">
        <v>333</v>
      </c>
      <c r="I99" s="88" t="s">
        <v>1116</v>
      </c>
      <c r="J99" s="88" t="s">
        <v>335</v>
      </c>
      <c r="K99" s="92" t="s">
        <v>1117</v>
      </c>
      <c r="L99" s="93"/>
      <c r="M99" s="94" t="s">
        <v>2270</v>
      </c>
      <c r="N99" s="88" t="s">
        <v>1085</v>
      </c>
      <c r="O99" s="88" t="s">
        <v>1118</v>
      </c>
      <c r="P99" s="88" t="s">
        <v>789</v>
      </c>
      <c r="Q99" s="88" t="s">
        <v>1119</v>
      </c>
      <c r="R99" s="88" t="s">
        <v>1120</v>
      </c>
      <c r="S99" s="88" t="s">
        <v>331</v>
      </c>
      <c r="T99" s="88" t="s">
        <v>331</v>
      </c>
      <c r="U99" s="88" t="s">
        <v>523</v>
      </c>
      <c r="V99" s="88" t="s">
        <v>339</v>
      </c>
      <c r="W99" s="88" t="s">
        <v>356</v>
      </c>
      <c r="X99" s="88" t="s">
        <v>130</v>
      </c>
      <c r="Y99" s="88" t="s">
        <v>351</v>
      </c>
      <c r="Z99" s="88" t="s">
        <v>512</v>
      </c>
      <c r="AA99" s="95"/>
      <c r="AB99" s="88" t="s">
        <v>1121</v>
      </c>
      <c r="AC99" s="88" t="s">
        <v>1122</v>
      </c>
      <c r="AD99" s="88" t="s">
        <v>342</v>
      </c>
      <c r="AE99" s="88" t="s">
        <v>448</v>
      </c>
      <c r="AF99" s="88" t="s">
        <v>130</v>
      </c>
      <c r="AG99" s="88" t="s">
        <v>361</v>
      </c>
      <c r="AH99" s="88" t="s">
        <v>1123</v>
      </c>
      <c r="AI99" s="88" t="s">
        <v>346</v>
      </c>
      <c r="AJ99" s="95"/>
      <c r="AK99" s="88" t="s">
        <v>529</v>
      </c>
      <c r="AL99" s="88" t="s">
        <v>1124</v>
      </c>
      <c r="AM99" s="95"/>
      <c r="AN99" s="96" t="s">
        <v>1125</v>
      </c>
      <c r="AO99" s="84"/>
    </row>
    <row r="100" spans="1:41" s="85" customFormat="1" ht="21" customHeight="1" x14ac:dyDescent="0.25">
      <c r="A100" s="88" t="s">
        <v>1114</v>
      </c>
      <c r="B100" s="116" t="s">
        <v>2243</v>
      </c>
      <c r="C100" s="88" t="s">
        <v>30</v>
      </c>
      <c r="D100" s="88" t="s">
        <v>43</v>
      </c>
      <c r="E100" s="88" t="s">
        <v>351</v>
      </c>
      <c r="F100" s="88" t="s">
        <v>332</v>
      </c>
      <c r="G100" s="88">
        <v>2011</v>
      </c>
      <c r="H100" s="88">
        <v>2014</v>
      </c>
      <c r="I100" s="88" t="s">
        <v>1126</v>
      </c>
      <c r="J100" s="88" t="s">
        <v>351</v>
      </c>
      <c r="K100" s="92" t="s">
        <v>1095</v>
      </c>
      <c r="L100" s="93"/>
      <c r="M100" s="119" t="s">
        <v>2272</v>
      </c>
      <c r="N100" s="88" t="s">
        <v>1127</v>
      </c>
      <c r="O100" s="88" t="s">
        <v>1128</v>
      </c>
      <c r="P100" s="88" t="s">
        <v>134</v>
      </c>
      <c r="Q100" s="88" t="s">
        <v>139</v>
      </c>
      <c r="R100" s="88" t="s">
        <v>138</v>
      </c>
      <c r="S100" s="88" t="s">
        <v>2257</v>
      </c>
      <c r="T100" s="88" t="s">
        <v>331</v>
      </c>
      <c r="U100" s="88" t="s">
        <v>130</v>
      </c>
      <c r="V100" s="88" t="s">
        <v>339</v>
      </c>
      <c r="W100" s="88" t="s">
        <v>339</v>
      </c>
      <c r="X100" s="88" t="s">
        <v>130</v>
      </c>
      <c r="Y100" s="88" t="s">
        <v>351</v>
      </c>
      <c r="Z100" s="88" t="s">
        <v>512</v>
      </c>
      <c r="AA100" s="95"/>
      <c r="AB100" s="88" t="s">
        <v>1129</v>
      </c>
      <c r="AC100" s="88" t="s">
        <v>1130</v>
      </c>
      <c r="AD100" s="88" t="s">
        <v>342</v>
      </c>
      <c r="AE100" s="88" t="s">
        <v>394</v>
      </c>
      <c r="AF100" s="88" t="s">
        <v>130</v>
      </c>
      <c r="AG100" s="88" t="s">
        <v>361</v>
      </c>
      <c r="AH100" s="88" t="s">
        <v>375</v>
      </c>
      <c r="AI100" s="88" t="s">
        <v>346</v>
      </c>
      <c r="AJ100" s="95"/>
      <c r="AK100" s="88" t="s">
        <v>1131</v>
      </c>
      <c r="AL100" s="88" t="s">
        <v>339</v>
      </c>
      <c r="AM100" s="95"/>
      <c r="AN100" s="96" t="s">
        <v>1132</v>
      </c>
      <c r="AO100" s="84"/>
    </row>
    <row r="101" spans="1:41" s="85" customFormat="1" x14ac:dyDescent="0.25">
      <c r="A101" s="88" t="s">
        <v>1114</v>
      </c>
      <c r="B101" s="88" t="s">
        <v>1133</v>
      </c>
      <c r="C101" s="88" t="s">
        <v>30</v>
      </c>
      <c r="D101" s="88" t="s">
        <v>43</v>
      </c>
      <c r="E101" s="88" t="s">
        <v>351</v>
      </c>
      <c r="F101" s="88" t="s">
        <v>387</v>
      </c>
      <c r="G101" s="88">
        <v>2006</v>
      </c>
      <c r="H101" s="88">
        <v>2013</v>
      </c>
      <c r="I101" s="88" t="s">
        <v>1134</v>
      </c>
      <c r="J101" s="88" t="s">
        <v>351</v>
      </c>
      <c r="K101" s="92" t="s">
        <v>1134</v>
      </c>
      <c r="L101" s="93"/>
      <c r="M101" s="94" t="s">
        <v>2272</v>
      </c>
      <c r="N101" s="88" t="s">
        <v>1085</v>
      </c>
      <c r="O101" s="88" t="s">
        <v>1135</v>
      </c>
      <c r="P101" s="88" t="s">
        <v>789</v>
      </c>
      <c r="Q101" s="88" t="s">
        <v>1136</v>
      </c>
      <c r="R101" s="88" t="s">
        <v>1137</v>
      </c>
      <c r="S101" s="88" t="s">
        <v>331</v>
      </c>
      <c r="T101" s="88" t="s">
        <v>331</v>
      </c>
      <c r="U101" s="88" t="s">
        <v>130</v>
      </c>
      <c r="V101" s="88" t="s">
        <v>351</v>
      </c>
      <c r="W101" s="88" t="s">
        <v>339</v>
      </c>
      <c r="X101" s="88" t="s">
        <v>130</v>
      </c>
      <c r="Y101" s="88" t="s">
        <v>351</v>
      </c>
      <c r="Z101" s="88" t="s">
        <v>380</v>
      </c>
      <c r="AA101" s="95"/>
      <c r="AB101" s="88" t="s">
        <v>1138</v>
      </c>
      <c r="AC101" s="88" t="s">
        <v>1139</v>
      </c>
      <c r="AD101" s="88" t="s">
        <v>1140</v>
      </c>
      <c r="AE101" s="88" t="s">
        <v>751</v>
      </c>
      <c r="AF101" s="88" t="s">
        <v>130</v>
      </c>
      <c r="AG101" s="88" t="s">
        <v>361</v>
      </c>
      <c r="AH101" s="88" t="s">
        <v>1141</v>
      </c>
      <c r="AI101" s="88" t="s">
        <v>346</v>
      </c>
      <c r="AJ101" s="95"/>
      <c r="AK101" s="88" t="s">
        <v>1142</v>
      </c>
      <c r="AL101" s="88" t="s">
        <v>1143</v>
      </c>
      <c r="AM101" s="95"/>
      <c r="AN101" s="96" t="s">
        <v>1144</v>
      </c>
      <c r="AO101" s="84"/>
    </row>
    <row r="102" spans="1:41" s="85" customFormat="1" ht="12.6" customHeight="1" x14ac:dyDescent="0.25">
      <c r="A102" s="88" t="s">
        <v>272</v>
      </c>
      <c r="B102" s="88" t="s">
        <v>1145</v>
      </c>
      <c r="C102" s="88" t="s">
        <v>197</v>
      </c>
      <c r="D102" s="88" t="s">
        <v>250</v>
      </c>
      <c r="E102" s="88" t="s">
        <v>351</v>
      </c>
      <c r="F102" s="88" t="s">
        <v>332</v>
      </c>
      <c r="G102" s="88">
        <v>2009</v>
      </c>
      <c r="H102" s="88">
        <v>2013</v>
      </c>
      <c r="I102" s="88" t="s">
        <v>1146</v>
      </c>
      <c r="J102" s="88" t="s">
        <v>351</v>
      </c>
      <c r="K102" s="92" t="s">
        <v>1147</v>
      </c>
      <c r="L102" s="93"/>
      <c r="M102" s="94" t="s">
        <v>2270</v>
      </c>
      <c r="N102" s="88" t="s">
        <v>939</v>
      </c>
      <c r="O102" s="88" t="s">
        <v>1148</v>
      </c>
      <c r="P102" s="88" t="s">
        <v>1149</v>
      </c>
      <c r="Q102" s="88" t="s">
        <v>139</v>
      </c>
      <c r="R102" s="88" t="s">
        <v>1150</v>
      </c>
      <c r="S102" s="88" t="s">
        <v>331</v>
      </c>
      <c r="T102" s="88" t="s">
        <v>331</v>
      </c>
      <c r="U102" s="88" t="s">
        <v>523</v>
      </c>
      <c r="V102" s="88" t="s">
        <v>331</v>
      </c>
      <c r="W102" s="88" t="s">
        <v>356</v>
      </c>
      <c r="X102" s="88" t="s">
        <v>130</v>
      </c>
      <c r="Y102" s="88" t="s">
        <v>339</v>
      </c>
      <c r="Z102" s="88" t="s">
        <v>339</v>
      </c>
      <c r="AA102" s="95"/>
      <c r="AB102" s="88" t="s">
        <v>1151</v>
      </c>
      <c r="AC102" s="116" t="s">
        <v>2238</v>
      </c>
      <c r="AD102" s="88" t="s">
        <v>342</v>
      </c>
      <c r="AE102" s="88" t="s">
        <v>359</v>
      </c>
      <c r="AF102" s="88" t="s">
        <v>130</v>
      </c>
      <c r="AG102" s="88" t="s">
        <v>542</v>
      </c>
      <c r="AH102" s="88" t="s">
        <v>375</v>
      </c>
      <c r="AI102" s="88" t="s">
        <v>346</v>
      </c>
      <c r="AJ102" s="95"/>
      <c r="AK102" s="88" t="s">
        <v>529</v>
      </c>
      <c r="AL102" s="88" t="s">
        <v>529</v>
      </c>
      <c r="AM102" s="95"/>
      <c r="AN102" s="96" t="s">
        <v>1152</v>
      </c>
      <c r="AO102" s="84"/>
    </row>
    <row r="103" spans="1:41" s="85" customFormat="1" x14ac:dyDescent="0.25">
      <c r="A103" s="88" t="s">
        <v>272</v>
      </c>
      <c r="B103" s="88" t="s">
        <v>1153</v>
      </c>
      <c r="C103" s="88" t="s">
        <v>197</v>
      </c>
      <c r="D103" s="88" t="s">
        <v>250</v>
      </c>
      <c r="E103" s="88" t="s">
        <v>351</v>
      </c>
      <c r="F103" s="88" t="s">
        <v>332</v>
      </c>
      <c r="G103" s="88">
        <v>2008</v>
      </c>
      <c r="H103" s="88">
        <v>2011</v>
      </c>
      <c r="I103" s="88" t="s">
        <v>1154</v>
      </c>
      <c r="J103" s="88" t="s">
        <v>351</v>
      </c>
      <c r="K103" s="92" t="s">
        <v>1155</v>
      </c>
      <c r="L103" s="93"/>
      <c r="M103" s="94" t="s">
        <v>2270</v>
      </c>
      <c r="N103" s="88" t="s">
        <v>121</v>
      </c>
      <c r="O103" s="88" t="s">
        <v>1156</v>
      </c>
      <c r="P103" s="88" t="s">
        <v>520</v>
      </c>
      <c r="Q103" s="88" t="s">
        <v>1157</v>
      </c>
      <c r="R103" s="88" t="s">
        <v>1158</v>
      </c>
      <c r="S103" s="88" t="s">
        <v>331</v>
      </c>
      <c r="T103" s="88" t="s">
        <v>331</v>
      </c>
      <c r="U103" s="88" t="s">
        <v>523</v>
      </c>
      <c r="V103" s="88" t="s">
        <v>331</v>
      </c>
      <c r="W103" s="88" t="s">
        <v>356</v>
      </c>
      <c r="X103" s="88" t="s">
        <v>130</v>
      </c>
      <c r="Y103" s="88" t="s">
        <v>351</v>
      </c>
      <c r="Z103" s="88" t="s">
        <v>380</v>
      </c>
      <c r="AA103" s="95"/>
      <c r="AB103" s="88" t="s">
        <v>1159</v>
      </c>
      <c r="AC103" s="88" t="s">
        <v>1160</v>
      </c>
      <c r="AD103" s="88" t="s">
        <v>342</v>
      </c>
      <c r="AE103" s="88" t="s">
        <v>448</v>
      </c>
      <c r="AF103" s="88" t="s">
        <v>130</v>
      </c>
      <c r="AG103" s="88" t="s">
        <v>361</v>
      </c>
      <c r="AH103" s="88" t="s">
        <v>375</v>
      </c>
      <c r="AI103" s="88" t="s">
        <v>544</v>
      </c>
      <c r="AJ103" s="95"/>
      <c r="AK103" s="88" t="s">
        <v>529</v>
      </c>
      <c r="AL103" s="88" t="s">
        <v>529</v>
      </c>
      <c r="AM103" s="95"/>
      <c r="AN103" s="96" t="s">
        <v>1161</v>
      </c>
      <c r="AO103" s="84"/>
    </row>
    <row r="104" spans="1:41" s="85" customFormat="1" x14ac:dyDescent="0.25">
      <c r="A104" s="88" t="s">
        <v>273</v>
      </c>
      <c r="B104" s="88" t="s">
        <v>1162</v>
      </c>
      <c r="C104" s="88" t="s">
        <v>42</v>
      </c>
      <c r="D104" s="88" t="s">
        <v>43</v>
      </c>
      <c r="E104" s="88" t="s">
        <v>331</v>
      </c>
      <c r="F104" s="88" t="s">
        <v>332</v>
      </c>
      <c r="G104" s="88">
        <v>2017</v>
      </c>
      <c r="H104" s="88" t="s">
        <v>333</v>
      </c>
      <c r="I104" s="88" t="s">
        <v>782</v>
      </c>
      <c r="J104" s="88" t="s">
        <v>351</v>
      </c>
      <c r="K104" s="92" t="s">
        <v>1163</v>
      </c>
      <c r="L104" s="93"/>
      <c r="M104" s="119" t="s">
        <v>2272</v>
      </c>
      <c r="N104" s="88" t="s">
        <v>121</v>
      </c>
      <c r="O104" s="88" t="s">
        <v>1164</v>
      </c>
      <c r="P104" s="88" t="s">
        <v>81</v>
      </c>
      <c r="Q104" s="88" t="s">
        <v>94</v>
      </c>
      <c r="R104" s="88" t="s">
        <v>1165</v>
      </c>
      <c r="S104" s="88" t="s">
        <v>331</v>
      </c>
      <c r="T104" s="88" t="s">
        <v>331</v>
      </c>
      <c r="U104" s="88" t="s">
        <v>130</v>
      </c>
      <c r="V104" s="88" t="s">
        <v>339</v>
      </c>
      <c r="W104" s="88" t="s">
        <v>529</v>
      </c>
      <c r="X104" s="88" t="s">
        <v>130</v>
      </c>
      <c r="Y104" s="88" t="s">
        <v>351</v>
      </c>
      <c r="Z104" s="88" t="s">
        <v>380</v>
      </c>
      <c r="AA104" s="95"/>
      <c r="AB104" s="88" t="s">
        <v>1166</v>
      </c>
      <c r="AC104" s="88" t="s">
        <v>1167</v>
      </c>
      <c r="AD104" s="88" t="s">
        <v>342</v>
      </c>
      <c r="AE104" s="88" t="s">
        <v>359</v>
      </c>
      <c r="AF104" s="88" t="s">
        <v>130</v>
      </c>
      <c r="AG104" s="88" t="s">
        <v>361</v>
      </c>
      <c r="AH104" s="88" t="s">
        <v>528</v>
      </c>
      <c r="AI104" s="88" t="s">
        <v>346</v>
      </c>
      <c r="AJ104" s="95"/>
      <c r="AK104" s="88" t="s">
        <v>339</v>
      </c>
      <c r="AL104" s="88" t="s">
        <v>339</v>
      </c>
      <c r="AM104" s="95"/>
      <c r="AN104" s="96" t="s">
        <v>1168</v>
      </c>
      <c r="AO104" s="84"/>
    </row>
    <row r="105" spans="1:41" s="85" customFormat="1" x14ac:dyDescent="0.25">
      <c r="A105" s="88" t="s">
        <v>274</v>
      </c>
      <c r="B105" s="88" t="s">
        <v>1169</v>
      </c>
      <c r="C105" s="88" t="s">
        <v>252</v>
      </c>
      <c r="D105" s="88" t="s">
        <v>250</v>
      </c>
      <c r="E105" s="88" t="s">
        <v>351</v>
      </c>
      <c r="F105" s="88" t="s">
        <v>484</v>
      </c>
      <c r="G105" s="100" t="s">
        <v>1170</v>
      </c>
      <c r="H105" s="88">
        <v>2019</v>
      </c>
      <c r="I105" s="88" t="s">
        <v>1171</v>
      </c>
      <c r="J105" s="88" t="s">
        <v>351</v>
      </c>
      <c r="K105" s="92" t="s">
        <v>1172</v>
      </c>
      <c r="L105" s="93"/>
      <c r="M105" s="119" t="s">
        <v>2272</v>
      </c>
      <c r="N105" s="88" t="s">
        <v>121</v>
      </c>
      <c r="O105" s="88" t="s">
        <v>1173</v>
      </c>
      <c r="P105" s="88" t="s">
        <v>134</v>
      </c>
      <c r="Q105" s="88" t="s">
        <v>139</v>
      </c>
      <c r="R105" s="88" t="s">
        <v>138</v>
      </c>
      <c r="S105" s="88" t="s">
        <v>331</v>
      </c>
      <c r="T105" s="88" t="s">
        <v>331</v>
      </c>
      <c r="U105" s="88" t="s">
        <v>130</v>
      </c>
      <c r="V105" s="88" t="s">
        <v>339</v>
      </c>
      <c r="W105" s="88" t="s">
        <v>339</v>
      </c>
      <c r="X105" s="88" t="s">
        <v>130</v>
      </c>
      <c r="Y105" s="88" t="s">
        <v>351</v>
      </c>
      <c r="Z105" s="88" t="s">
        <v>512</v>
      </c>
      <c r="AA105" s="95"/>
      <c r="AB105" s="88" t="s">
        <v>1174</v>
      </c>
      <c r="AC105" s="88" t="s">
        <v>1175</v>
      </c>
      <c r="AD105" s="88" t="s">
        <v>342</v>
      </c>
      <c r="AE105" s="88"/>
      <c r="AF105" s="88" t="s">
        <v>130</v>
      </c>
      <c r="AG105" s="88" t="s">
        <v>361</v>
      </c>
      <c r="AH105" s="88" t="s">
        <v>375</v>
      </c>
      <c r="AI105" s="88" t="s">
        <v>346</v>
      </c>
      <c r="AJ105" s="95"/>
      <c r="AK105" s="88" t="s">
        <v>339</v>
      </c>
      <c r="AL105" s="88" t="s">
        <v>1176</v>
      </c>
      <c r="AM105" s="95"/>
      <c r="AN105" s="96" t="s">
        <v>1177</v>
      </c>
      <c r="AO105" s="84"/>
    </row>
    <row r="106" spans="1:41" s="85" customFormat="1" x14ac:dyDescent="0.25">
      <c r="A106" s="88" t="s">
        <v>274</v>
      </c>
      <c r="B106" s="88" t="s">
        <v>1178</v>
      </c>
      <c r="C106" s="88" t="s">
        <v>252</v>
      </c>
      <c r="D106" s="88" t="s">
        <v>250</v>
      </c>
      <c r="E106" s="88" t="s">
        <v>351</v>
      </c>
      <c r="F106" s="88" t="s">
        <v>399</v>
      </c>
      <c r="G106" s="88">
        <v>2002</v>
      </c>
      <c r="H106" s="88" t="s">
        <v>333</v>
      </c>
      <c r="I106" s="88" t="s">
        <v>353</v>
      </c>
      <c r="J106" s="88" t="s">
        <v>335</v>
      </c>
      <c r="K106" s="92" t="s">
        <v>1179</v>
      </c>
      <c r="L106" s="93"/>
      <c r="M106" s="119" t="s">
        <v>2272</v>
      </c>
      <c r="N106" s="88" t="s">
        <v>121</v>
      </c>
      <c r="O106" s="88" t="s">
        <v>408</v>
      </c>
      <c r="P106" s="88" t="s">
        <v>134</v>
      </c>
      <c r="Q106" s="88" t="s">
        <v>139</v>
      </c>
      <c r="R106" s="88" t="s">
        <v>138</v>
      </c>
      <c r="S106" s="88" t="s">
        <v>331</v>
      </c>
      <c r="T106" s="88" t="s">
        <v>331</v>
      </c>
      <c r="U106" s="88" t="s">
        <v>130</v>
      </c>
      <c r="V106" s="88" t="s">
        <v>331</v>
      </c>
      <c r="W106" s="88" t="s">
        <v>356</v>
      </c>
      <c r="X106" s="88" t="s">
        <v>130</v>
      </c>
      <c r="Y106" s="88" t="s">
        <v>339</v>
      </c>
      <c r="Z106" s="88" t="s">
        <v>339</v>
      </c>
      <c r="AA106" s="95"/>
      <c r="AB106" s="88" t="s">
        <v>1180</v>
      </c>
      <c r="AC106" s="88" t="s">
        <v>1181</v>
      </c>
      <c r="AD106" s="88" t="s">
        <v>1182</v>
      </c>
      <c r="AE106" s="88" t="s">
        <v>751</v>
      </c>
      <c r="AF106" s="88" t="s">
        <v>130</v>
      </c>
      <c r="AG106" s="88" t="s">
        <v>542</v>
      </c>
      <c r="AH106" s="88" t="s">
        <v>375</v>
      </c>
      <c r="AI106" s="88" t="s">
        <v>346</v>
      </c>
      <c r="AJ106" s="95"/>
      <c r="AK106" s="88" t="s">
        <v>339</v>
      </c>
      <c r="AL106" s="88" t="s">
        <v>339</v>
      </c>
      <c r="AM106" s="95"/>
      <c r="AN106" s="96" t="s">
        <v>960</v>
      </c>
      <c r="AO106" s="84"/>
    </row>
    <row r="107" spans="1:41" s="85" customFormat="1" x14ac:dyDescent="0.25">
      <c r="A107" s="88" t="s">
        <v>274</v>
      </c>
      <c r="B107" s="88" t="s">
        <v>1183</v>
      </c>
      <c r="C107" s="88" t="s">
        <v>252</v>
      </c>
      <c r="D107" s="88" t="s">
        <v>250</v>
      </c>
      <c r="E107" s="88" t="s">
        <v>351</v>
      </c>
      <c r="F107" s="88" t="s">
        <v>387</v>
      </c>
      <c r="G107" s="88">
        <v>2006</v>
      </c>
      <c r="H107" s="88" t="s">
        <v>333</v>
      </c>
      <c r="I107" s="88" t="s">
        <v>353</v>
      </c>
      <c r="J107" s="88" t="s">
        <v>351</v>
      </c>
      <c r="K107" s="92" t="s">
        <v>1184</v>
      </c>
      <c r="L107" s="93"/>
      <c r="M107" s="119" t="s">
        <v>2272</v>
      </c>
      <c r="N107" s="88" t="s">
        <v>121</v>
      </c>
      <c r="O107" s="88" t="s">
        <v>1185</v>
      </c>
      <c r="P107" s="88" t="s">
        <v>134</v>
      </c>
      <c r="Q107" s="88" t="s">
        <v>139</v>
      </c>
      <c r="R107" s="88" t="s">
        <v>77</v>
      </c>
      <c r="S107" s="88" t="s">
        <v>331</v>
      </c>
      <c r="T107" s="88" t="s">
        <v>331</v>
      </c>
      <c r="U107" s="88" t="s">
        <v>130</v>
      </c>
      <c r="V107" s="88" t="s">
        <v>331</v>
      </c>
      <c r="W107" s="88" t="s">
        <v>356</v>
      </c>
      <c r="X107" s="88" t="s">
        <v>130</v>
      </c>
      <c r="Y107" s="88" t="s">
        <v>339</v>
      </c>
      <c r="Z107" s="88" t="s">
        <v>339</v>
      </c>
      <c r="AA107" s="95"/>
      <c r="AB107" s="88" t="s">
        <v>353</v>
      </c>
      <c r="AC107" s="88" t="s">
        <v>1186</v>
      </c>
      <c r="AD107" s="88" t="s">
        <v>529</v>
      </c>
      <c r="AE107" s="88" t="s">
        <v>359</v>
      </c>
      <c r="AF107" s="88" t="s">
        <v>130</v>
      </c>
      <c r="AG107" s="88" t="s">
        <v>361</v>
      </c>
      <c r="AH107" s="88" t="s">
        <v>375</v>
      </c>
      <c r="AI107" s="88" t="s">
        <v>346</v>
      </c>
      <c r="AJ107" s="95"/>
      <c r="AK107" s="88" t="s">
        <v>339</v>
      </c>
      <c r="AL107" s="88" t="s">
        <v>339</v>
      </c>
      <c r="AM107" s="95"/>
      <c r="AN107" s="96" t="s">
        <v>960</v>
      </c>
      <c r="AO107" s="84"/>
    </row>
    <row r="108" spans="1:41" s="85" customFormat="1" x14ac:dyDescent="0.25">
      <c r="A108" s="88" t="s">
        <v>275</v>
      </c>
      <c r="B108" s="88" t="s">
        <v>1187</v>
      </c>
      <c r="C108" s="88" t="s">
        <v>252</v>
      </c>
      <c r="D108" s="88" t="s">
        <v>250</v>
      </c>
      <c r="E108" s="88" t="s">
        <v>351</v>
      </c>
      <c r="F108" s="88" t="s">
        <v>332</v>
      </c>
      <c r="G108" s="88">
        <v>2019</v>
      </c>
      <c r="H108" s="88" t="s">
        <v>333</v>
      </c>
      <c r="I108" s="88" t="s">
        <v>1188</v>
      </c>
      <c r="J108" s="88" t="s">
        <v>351</v>
      </c>
      <c r="K108" s="92" t="s">
        <v>1189</v>
      </c>
      <c r="L108" s="93"/>
      <c r="M108" s="94" t="s">
        <v>2270</v>
      </c>
      <c r="N108" s="88" t="s">
        <v>1190</v>
      </c>
      <c r="O108" s="88" t="s">
        <v>1191</v>
      </c>
      <c r="P108" s="88" t="s">
        <v>134</v>
      </c>
      <c r="Q108" s="88" t="s">
        <v>76</v>
      </c>
      <c r="R108" s="88" t="s">
        <v>1192</v>
      </c>
      <c r="S108" s="88" t="s">
        <v>331</v>
      </c>
      <c r="T108" s="88" t="s">
        <v>331</v>
      </c>
      <c r="U108" s="88" t="s">
        <v>130</v>
      </c>
      <c r="V108" s="88" t="s">
        <v>351</v>
      </c>
      <c r="W108" s="88" t="s">
        <v>351</v>
      </c>
      <c r="X108" s="88" t="s">
        <v>461</v>
      </c>
      <c r="Y108" s="88" t="s">
        <v>331</v>
      </c>
      <c r="Z108" s="88" t="s">
        <v>380</v>
      </c>
      <c r="AA108" s="95"/>
      <c r="AB108" s="88" t="s">
        <v>1193</v>
      </c>
      <c r="AC108" s="88" t="s">
        <v>1194</v>
      </c>
      <c r="AD108" s="88" t="s">
        <v>1195</v>
      </c>
      <c r="AE108" s="88" t="s">
        <v>359</v>
      </c>
      <c r="AF108" s="88" t="s">
        <v>130</v>
      </c>
      <c r="AG108" s="88" t="s">
        <v>1196</v>
      </c>
      <c r="AH108" s="88" t="s">
        <v>375</v>
      </c>
      <c r="AI108" s="88" t="s">
        <v>346</v>
      </c>
      <c r="AJ108" s="95"/>
      <c r="AK108" s="88" t="s">
        <v>339</v>
      </c>
      <c r="AL108" s="88" t="s">
        <v>339</v>
      </c>
      <c r="AM108" s="95"/>
      <c r="AN108" s="96" t="s">
        <v>1197</v>
      </c>
      <c r="AO108" s="84"/>
    </row>
    <row r="109" spans="1:41" s="85" customFormat="1" ht="18" customHeight="1" x14ac:dyDescent="0.25">
      <c r="A109" s="88" t="s">
        <v>275</v>
      </c>
      <c r="B109" s="88" t="s">
        <v>2271</v>
      </c>
      <c r="C109" s="88" t="s">
        <v>252</v>
      </c>
      <c r="D109" s="88" t="s">
        <v>250</v>
      </c>
      <c r="E109" s="88" t="s">
        <v>351</v>
      </c>
      <c r="F109" s="88" t="s">
        <v>332</v>
      </c>
      <c r="G109" s="88">
        <v>2012</v>
      </c>
      <c r="H109" s="88">
        <v>2017</v>
      </c>
      <c r="I109" s="88" t="s">
        <v>1198</v>
      </c>
      <c r="J109" s="88" t="s">
        <v>351</v>
      </c>
      <c r="K109" s="92" t="s">
        <v>877</v>
      </c>
      <c r="L109" s="93"/>
      <c r="M109" s="94" t="s">
        <v>2252</v>
      </c>
      <c r="N109" s="88" t="s">
        <v>810</v>
      </c>
      <c r="O109" s="88" t="s">
        <v>1199</v>
      </c>
      <c r="P109" s="88" t="s">
        <v>134</v>
      </c>
      <c r="Q109" s="88" t="s">
        <v>139</v>
      </c>
      <c r="R109" s="88" t="s">
        <v>138</v>
      </c>
      <c r="S109" s="88" t="s">
        <v>130</v>
      </c>
      <c r="T109" s="88" t="s">
        <v>331</v>
      </c>
      <c r="U109" s="88" t="s">
        <v>130</v>
      </c>
      <c r="V109" s="88" t="s">
        <v>331</v>
      </c>
      <c r="W109" s="88" t="s">
        <v>351</v>
      </c>
      <c r="X109" s="88" t="s">
        <v>461</v>
      </c>
      <c r="Y109" s="88" t="s">
        <v>351</v>
      </c>
      <c r="Z109" s="88" t="s">
        <v>512</v>
      </c>
      <c r="AA109" s="95"/>
      <c r="AB109" s="88" t="s">
        <v>1200</v>
      </c>
      <c r="AC109" s="116" t="s">
        <v>1201</v>
      </c>
      <c r="AD109" s="88" t="s">
        <v>342</v>
      </c>
      <c r="AE109" s="88" t="s">
        <v>359</v>
      </c>
      <c r="AF109" s="88" t="s">
        <v>1202</v>
      </c>
      <c r="AG109" s="88" t="s">
        <v>1196</v>
      </c>
      <c r="AH109" s="88" t="s">
        <v>375</v>
      </c>
      <c r="AI109" s="88" t="s">
        <v>346</v>
      </c>
      <c r="AJ109" s="95"/>
      <c r="AK109" s="88" t="s">
        <v>339</v>
      </c>
      <c r="AL109" s="88" t="s">
        <v>339</v>
      </c>
      <c r="AM109" s="95"/>
      <c r="AN109" s="96" t="s">
        <v>1203</v>
      </c>
      <c r="AO109" s="84"/>
    </row>
    <row r="110" spans="1:41" s="85" customFormat="1" x14ac:dyDescent="0.25">
      <c r="A110" s="88" t="s">
        <v>275</v>
      </c>
      <c r="B110" s="88" t="s">
        <v>1202</v>
      </c>
      <c r="C110" s="88" t="s">
        <v>252</v>
      </c>
      <c r="D110" s="88" t="s">
        <v>250</v>
      </c>
      <c r="E110" s="88" t="s">
        <v>351</v>
      </c>
      <c r="F110" s="88" t="s">
        <v>332</v>
      </c>
      <c r="G110" s="88">
        <v>2014</v>
      </c>
      <c r="H110" s="88" t="s">
        <v>333</v>
      </c>
      <c r="I110" s="88" t="s">
        <v>353</v>
      </c>
      <c r="J110" s="88" t="s">
        <v>351</v>
      </c>
      <c r="K110" s="92" t="s">
        <v>407</v>
      </c>
      <c r="L110" s="93"/>
      <c r="M110" s="94" t="s">
        <v>2272</v>
      </c>
      <c r="N110" s="88" t="s">
        <v>121</v>
      </c>
      <c r="O110" s="88" t="s">
        <v>122</v>
      </c>
      <c r="P110" s="88" t="s">
        <v>134</v>
      </c>
      <c r="Q110" s="88" t="s">
        <v>100</v>
      </c>
      <c r="R110" s="88" t="s">
        <v>1204</v>
      </c>
      <c r="S110" s="88" t="s">
        <v>2258</v>
      </c>
      <c r="T110" s="88" t="s">
        <v>331</v>
      </c>
      <c r="U110" s="88" t="s">
        <v>130</v>
      </c>
      <c r="V110" s="88" t="s">
        <v>339</v>
      </c>
      <c r="W110" s="88" t="s">
        <v>339</v>
      </c>
      <c r="X110" s="88" t="s">
        <v>130</v>
      </c>
      <c r="Y110" s="88" t="s">
        <v>339</v>
      </c>
      <c r="Z110" s="88" t="s">
        <v>130</v>
      </c>
      <c r="AA110" s="95"/>
      <c r="AB110" s="88" t="s">
        <v>1205</v>
      </c>
      <c r="AC110" s="88" t="s">
        <v>1206</v>
      </c>
      <c r="AD110" s="88" t="s">
        <v>342</v>
      </c>
      <c r="AE110" s="88" t="s">
        <v>359</v>
      </c>
      <c r="AF110" s="88" t="s">
        <v>130</v>
      </c>
      <c r="AG110" s="88" t="s">
        <v>361</v>
      </c>
      <c r="AH110" s="88" t="s">
        <v>375</v>
      </c>
      <c r="AI110" s="88" t="s">
        <v>346</v>
      </c>
      <c r="AJ110" s="95"/>
      <c r="AK110" s="88" t="s">
        <v>339</v>
      </c>
      <c r="AL110" s="88" t="s">
        <v>339</v>
      </c>
      <c r="AM110" s="95"/>
      <c r="AN110" s="96" t="s">
        <v>1207</v>
      </c>
      <c r="AO110" s="84"/>
    </row>
    <row r="111" spans="1:41" s="85" customFormat="1" x14ac:dyDescent="0.25">
      <c r="A111" s="88" t="s">
        <v>275</v>
      </c>
      <c r="B111" s="88" t="s">
        <v>1208</v>
      </c>
      <c r="C111" s="88" t="s">
        <v>252</v>
      </c>
      <c r="D111" s="88" t="s">
        <v>250</v>
      </c>
      <c r="E111" s="88" t="s">
        <v>351</v>
      </c>
      <c r="F111" s="88" t="s">
        <v>332</v>
      </c>
      <c r="G111" s="88">
        <v>2013</v>
      </c>
      <c r="H111" s="88">
        <v>2018</v>
      </c>
      <c r="I111" s="88" t="s">
        <v>1209</v>
      </c>
      <c r="J111" s="88" t="s">
        <v>351</v>
      </c>
      <c r="K111" s="92" t="s">
        <v>1210</v>
      </c>
      <c r="L111" s="93"/>
      <c r="M111" s="94" t="s">
        <v>2270</v>
      </c>
      <c r="N111" s="88" t="s">
        <v>355</v>
      </c>
      <c r="O111" s="88" t="s">
        <v>1211</v>
      </c>
      <c r="P111" s="88" t="s">
        <v>134</v>
      </c>
      <c r="Q111" s="88" t="s">
        <v>139</v>
      </c>
      <c r="R111" s="88" t="s">
        <v>138</v>
      </c>
      <c r="S111" s="88" t="s">
        <v>331</v>
      </c>
      <c r="T111" s="88" t="s">
        <v>331</v>
      </c>
      <c r="U111" s="88" t="s">
        <v>130</v>
      </c>
      <c r="V111" s="88" t="s">
        <v>331</v>
      </c>
      <c r="W111" s="88" t="s">
        <v>356</v>
      </c>
      <c r="X111" s="88" t="s">
        <v>130</v>
      </c>
      <c r="Y111" s="88" t="s">
        <v>351</v>
      </c>
      <c r="Z111" s="88" t="s">
        <v>512</v>
      </c>
      <c r="AA111" s="95"/>
      <c r="AB111" s="88" t="s">
        <v>1212</v>
      </c>
      <c r="AC111" s="88" t="s">
        <v>1213</v>
      </c>
      <c r="AD111" s="88" t="s">
        <v>342</v>
      </c>
      <c r="AE111" s="88" t="s">
        <v>359</v>
      </c>
      <c r="AF111" s="88" t="s">
        <v>1214</v>
      </c>
      <c r="AG111" s="88" t="s">
        <v>361</v>
      </c>
      <c r="AH111" s="88" t="s">
        <v>375</v>
      </c>
      <c r="AI111" s="88" t="s">
        <v>346</v>
      </c>
      <c r="AJ111" s="95"/>
      <c r="AK111" s="88" t="s">
        <v>339</v>
      </c>
      <c r="AL111" s="88" t="s">
        <v>339</v>
      </c>
      <c r="AM111" s="95"/>
      <c r="AN111" s="96" t="s">
        <v>1215</v>
      </c>
      <c r="AO111" s="84"/>
    </row>
    <row r="112" spans="1:41" s="85" customFormat="1" ht="12.6" customHeight="1" x14ac:dyDescent="0.25">
      <c r="A112" s="88" t="s">
        <v>275</v>
      </c>
      <c r="B112" s="88" t="s">
        <v>1214</v>
      </c>
      <c r="C112" s="88" t="s">
        <v>252</v>
      </c>
      <c r="D112" s="88" t="s">
        <v>250</v>
      </c>
      <c r="E112" s="88" t="s">
        <v>351</v>
      </c>
      <c r="F112" s="88" t="s">
        <v>332</v>
      </c>
      <c r="G112" s="88">
        <v>2014</v>
      </c>
      <c r="H112" s="88" t="s">
        <v>333</v>
      </c>
      <c r="I112" s="88" t="s">
        <v>1216</v>
      </c>
      <c r="J112" s="88" t="s">
        <v>335</v>
      </c>
      <c r="K112" s="92" t="s">
        <v>1214</v>
      </c>
      <c r="L112" s="93"/>
      <c r="M112" s="94" t="s">
        <v>2248</v>
      </c>
      <c r="N112" s="88" t="s">
        <v>79</v>
      </c>
      <c r="O112" s="88" t="s">
        <v>336</v>
      </c>
      <c r="P112" s="88" t="s">
        <v>602</v>
      </c>
      <c r="Q112" s="88" t="s">
        <v>76</v>
      </c>
      <c r="R112" s="88" t="s">
        <v>138</v>
      </c>
      <c r="S112" s="88" t="s">
        <v>1208</v>
      </c>
      <c r="T112" s="88" t="s">
        <v>331</v>
      </c>
      <c r="U112" s="88" t="s">
        <v>130</v>
      </c>
      <c r="V112" s="88" t="s">
        <v>339</v>
      </c>
      <c r="W112" s="88" t="s">
        <v>339</v>
      </c>
      <c r="X112" s="88" t="s">
        <v>130</v>
      </c>
      <c r="Y112" s="88" t="s">
        <v>339</v>
      </c>
      <c r="Z112" s="88" t="s">
        <v>130</v>
      </c>
      <c r="AA112" s="95"/>
      <c r="AB112" s="88" t="s">
        <v>1217</v>
      </c>
      <c r="AC112" s="88" t="s">
        <v>1218</v>
      </c>
      <c r="AD112" s="88" t="s">
        <v>342</v>
      </c>
      <c r="AE112" s="88" t="s">
        <v>394</v>
      </c>
      <c r="AF112" s="88" t="s">
        <v>130</v>
      </c>
      <c r="AG112" s="88" t="s">
        <v>361</v>
      </c>
      <c r="AH112" s="88" t="s">
        <v>375</v>
      </c>
      <c r="AI112" s="88" t="s">
        <v>346</v>
      </c>
      <c r="AJ112" s="95"/>
      <c r="AK112" s="88" t="s">
        <v>1219</v>
      </c>
      <c r="AL112" s="88" t="s">
        <v>1220</v>
      </c>
      <c r="AM112" s="95"/>
      <c r="AN112" s="96" t="s">
        <v>1221</v>
      </c>
      <c r="AO112" s="84"/>
    </row>
    <row r="113" spans="1:41" s="85" customFormat="1" ht="15.95" customHeight="1" x14ac:dyDescent="0.25">
      <c r="A113" s="88" t="s">
        <v>275</v>
      </c>
      <c r="B113" s="88" t="s">
        <v>1222</v>
      </c>
      <c r="C113" s="88" t="s">
        <v>252</v>
      </c>
      <c r="D113" s="88" t="s">
        <v>250</v>
      </c>
      <c r="E113" s="88" t="s">
        <v>351</v>
      </c>
      <c r="F113" s="88" t="s">
        <v>332</v>
      </c>
      <c r="G113" s="88" t="s">
        <v>416</v>
      </c>
      <c r="H113" s="88" t="s">
        <v>333</v>
      </c>
      <c r="I113" s="88" t="s">
        <v>1223</v>
      </c>
      <c r="J113" s="88" t="s">
        <v>335</v>
      </c>
      <c r="K113" s="92" t="s">
        <v>1222</v>
      </c>
      <c r="L113" s="93"/>
      <c r="M113" s="94" t="s">
        <v>2248</v>
      </c>
      <c r="N113" s="88" t="s">
        <v>121</v>
      </c>
      <c r="O113" s="88" t="s">
        <v>1164</v>
      </c>
      <c r="P113" s="88" t="s">
        <v>134</v>
      </c>
      <c r="Q113" s="88" t="s">
        <v>139</v>
      </c>
      <c r="R113" s="88" t="s">
        <v>1165</v>
      </c>
      <c r="S113" s="88" t="s">
        <v>2258</v>
      </c>
      <c r="T113" s="88" t="s">
        <v>331</v>
      </c>
      <c r="U113" s="88" t="s">
        <v>130</v>
      </c>
      <c r="V113" s="88" t="s">
        <v>339</v>
      </c>
      <c r="W113" s="88" t="s">
        <v>339</v>
      </c>
      <c r="X113" s="88" t="s">
        <v>130</v>
      </c>
      <c r="Y113" s="88" t="s">
        <v>339</v>
      </c>
      <c r="Z113" s="88" t="s">
        <v>130</v>
      </c>
      <c r="AA113" s="95"/>
      <c r="AB113" s="88" t="s">
        <v>1224</v>
      </c>
      <c r="AC113" s="116" t="s">
        <v>1225</v>
      </c>
      <c r="AD113" s="88" t="s">
        <v>342</v>
      </c>
      <c r="AE113" s="88" t="s">
        <v>359</v>
      </c>
      <c r="AF113" s="88" t="s">
        <v>130</v>
      </c>
      <c r="AG113" s="88" t="s">
        <v>1196</v>
      </c>
      <c r="AH113" s="88" t="s">
        <v>375</v>
      </c>
      <c r="AI113" s="88" t="s">
        <v>346</v>
      </c>
      <c r="AJ113" s="95"/>
      <c r="AK113" s="88" t="s">
        <v>339</v>
      </c>
      <c r="AL113" s="88" t="s">
        <v>339</v>
      </c>
      <c r="AM113" s="95"/>
      <c r="AN113" s="96" t="s">
        <v>1226</v>
      </c>
      <c r="AO113" s="84"/>
    </row>
    <row r="114" spans="1:41" s="85" customFormat="1" x14ac:dyDescent="0.25">
      <c r="A114" s="88" t="s">
        <v>275</v>
      </c>
      <c r="B114" s="88" t="s">
        <v>1227</v>
      </c>
      <c r="C114" s="88" t="s">
        <v>252</v>
      </c>
      <c r="D114" s="88" t="s">
        <v>250</v>
      </c>
      <c r="E114" s="88" t="s">
        <v>351</v>
      </c>
      <c r="F114" s="88" t="s">
        <v>332</v>
      </c>
      <c r="G114" s="88">
        <v>2020</v>
      </c>
      <c r="H114" s="88">
        <v>2025</v>
      </c>
      <c r="I114" s="88" t="s">
        <v>1228</v>
      </c>
      <c r="J114" s="88" t="s">
        <v>351</v>
      </c>
      <c r="K114" s="92" t="s">
        <v>1229</v>
      </c>
      <c r="L114" s="93"/>
      <c r="M114" s="94" t="s">
        <v>2272</v>
      </c>
      <c r="N114" s="88" t="s">
        <v>1230</v>
      </c>
      <c r="O114" s="88" t="s">
        <v>1231</v>
      </c>
      <c r="P114" s="88" t="s">
        <v>1232</v>
      </c>
      <c r="Q114" s="88" t="s">
        <v>1233</v>
      </c>
      <c r="R114" s="88" t="s">
        <v>1234</v>
      </c>
      <c r="S114" s="88" t="s">
        <v>331</v>
      </c>
      <c r="T114" s="88" t="s">
        <v>351</v>
      </c>
      <c r="U114" s="88" t="s">
        <v>90</v>
      </c>
      <c r="V114" s="88" t="s">
        <v>351</v>
      </c>
      <c r="W114" s="88" t="s">
        <v>351</v>
      </c>
      <c r="X114" s="88" t="s">
        <v>490</v>
      </c>
      <c r="Y114" s="88" t="s">
        <v>351</v>
      </c>
      <c r="Z114" s="88" t="s">
        <v>380</v>
      </c>
      <c r="AA114" s="95"/>
      <c r="AB114" s="88" t="s">
        <v>1235</v>
      </c>
      <c r="AC114" s="97" t="s">
        <v>1236</v>
      </c>
      <c r="AD114" s="88" t="s">
        <v>1237</v>
      </c>
      <c r="AE114" s="88" t="s">
        <v>359</v>
      </c>
      <c r="AF114" s="88" t="s">
        <v>1222</v>
      </c>
      <c r="AG114" s="88" t="s">
        <v>1238</v>
      </c>
      <c r="AH114" s="88" t="s">
        <v>375</v>
      </c>
      <c r="AI114" s="88" t="s">
        <v>346</v>
      </c>
      <c r="AJ114" s="95"/>
      <c r="AK114" s="88" t="s">
        <v>339</v>
      </c>
      <c r="AL114" s="88" t="s">
        <v>339</v>
      </c>
      <c r="AM114" s="95"/>
      <c r="AN114" s="96" t="s">
        <v>1239</v>
      </c>
      <c r="AO114" s="84"/>
    </row>
    <row r="115" spans="1:41" s="85" customFormat="1" x14ac:dyDescent="0.25">
      <c r="A115" s="88" t="s">
        <v>275</v>
      </c>
      <c r="B115" s="88" t="s">
        <v>1240</v>
      </c>
      <c r="C115" s="88" t="s">
        <v>252</v>
      </c>
      <c r="D115" s="88" t="s">
        <v>250</v>
      </c>
      <c r="E115" s="88" t="s">
        <v>351</v>
      </c>
      <c r="F115" s="88" t="s">
        <v>332</v>
      </c>
      <c r="G115" s="88">
        <v>2018</v>
      </c>
      <c r="H115" s="88">
        <v>2025</v>
      </c>
      <c r="I115" s="88" t="s">
        <v>1241</v>
      </c>
      <c r="J115" s="88" t="s">
        <v>351</v>
      </c>
      <c r="K115" s="92" t="s">
        <v>1242</v>
      </c>
      <c r="L115" s="93"/>
      <c r="M115" s="94" t="s">
        <v>2272</v>
      </c>
      <c r="N115" s="88" t="s">
        <v>121</v>
      </c>
      <c r="O115" s="88" t="s">
        <v>408</v>
      </c>
      <c r="P115" s="88" t="s">
        <v>659</v>
      </c>
      <c r="Q115" s="88" t="s">
        <v>76</v>
      </c>
      <c r="R115" s="88" t="s">
        <v>1234</v>
      </c>
      <c r="S115" s="88" t="s">
        <v>331</v>
      </c>
      <c r="T115" s="88" t="s">
        <v>331</v>
      </c>
      <c r="U115" s="88" t="s">
        <v>130</v>
      </c>
      <c r="V115" s="88" t="s">
        <v>351</v>
      </c>
      <c r="W115" s="88" t="s">
        <v>356</v>
      </c>
      <c r="X115" s="88" t="s">
        <v>130</v>
      </c>
      <c r="Y115" s="88" t="s">
        <v>351</v>
      </c>
      <c r="Z115" s="88" t="s">
        <v>130</v>
      </c>
      <c r="AA115" s="95"/>
      <c r="AB115" s="88" t="s">
        <v>1243</v>
      </c>
      <c r="AC115" s="97" t="s">
        <v>1244</v>
      </c>
      <c r="AD115" s="88" t="s">
        <v>1245</v>
      </c>
      <c r="AE115" s="88" t="s">
        <v>359</v>
      </c>
      <c r="AF115" s="88" t="s">
        <v>130</v>
      </c>
      <c r="AG115" s="88" t="s">
        <v>361</v>
      </c>
      <c r="AH115" s="88" t="s">
        <v>375</v>
      </c>
      <c r="AI115" s="88" t="s">
        <v>346</v>
      </c>
      <c r="AJ115" s="95"/>
      <c r="AK115" s="88" t="s">
        <v>339</v>
      </c>
      <c r="AL115" s="88" t="s">
        <v>339</v>
      </c>
      <c r="AM115" s="95"/>
      <c r="AN115" s="96" t="s">
        <v>1246</v>
      </c>
      <c r="AO115" s="84"/>
    </row>
    <row r="116" spans="1:41" s="85" customFormat="1" x14ac:dyDescent="0.25">
      <c r="A116" s="88" t="s">
        <v>276</v>
      </c>
      <c r="B116" s="88" t="s">
        <v>1247</v>
      </c>
      <c r="C116" s="88" t="s">
        <v>197</v>
      </c>
      <c r="D116" s="88" t="s">
        <v>250</v>
      </c>
      <c r="E116" s="88" t="s">
        <v>351</v>
      </c>
      <c r="F116" s="88" t="s">
        <v>406</v>
      </c>
      <c r="G116" s="101" t="s">
        <v>1248</v>
      </c>
      <c r="H116" s="88">
        <v>2022</v>
      </c>
      <c r="I116" s="88" t="s">
        <v>1249</v>
      </c>
      <c r="J116" s="88" t="s">
        <v>351</v>
      </c>
      <c r="K116" s="92" t="s">
        <v>1250</v>
      </c>
      <c r="L116" s="93"/>
      <c r="M116" s="94" t="s">
        <v>2272</v>
      </c>
      <c r="N116" s="88" t="s">
        <v>460</v>
      </c>
      <c r="O116" s="88" t="s">
        <v>618</v>
      </c>
      <c r="P116" s="88" t="s">
        <v>81</v>
      </c>
      <c r="Q116" s="88" t="s">
        <v>76</v>
      </c>
      <c r="R116" s="88" t="s">
        <v>138</v>
      </c>
      <c r="S116" s="88" t="s">
        <v>335</v>
      </c>
      <c r="T116" s="88" t="s">
        <v>331</v>
      </c>
      <c r="U116" s="88" t="s">
        <v>130</v>
      </c>
      <c r="V116" s="88" t="s">
        <v>351</v>
      </c>
      <c r="W116" s="88" t="s">
        <v>339</v>
      </c>
      <c r="X116" s="88" t="s">
        <v>130</v>
      </c>
      <c r="Y116" s="88" t="s">
        <v>351</v>
      </c>
      <c r="Z116" s="88" t="s">
        <v>512</v>
      </c>
      <c r="AA116" s="95"/>
      <c r="AB116" s="88" t="s">
        <v>1251</v>
      </c>
      <c r="AC116" s="88" t="s">
        <v>1252</v>
      </c>
      <c r="AD116" s="103" t="s">
        <v>1253</v>
      </c>
      <c r="AE116" s="88" t="s">
        <v>448</v>
      </c>
      <c r="AF116" s="88" t="s">
        <v>130</v>
      </c>
      <c r="AG116" s="88" t="s">
        <v>361</v>
      </c>
      <c r="AH116" s="88" t="s">
        <v>375</v>
      </c>
      <c r="AI116" s="88" t="s">
        <v>346</v>
      </c>
      <c r="AJ116" s="95"/>
      <c r="AK116" s="88" t="s">
        <v>339</v>
      </c>
      <c r="AL116" s="88" t="s">
        <v>339</v>
      </c>
      <c r="AM116" s="95"/>
      <c r="AN116" s="96" t="s">
        <v>1254</v>
      </c>
      <c r="AO116" s="84"/>
    </row>
    <row r="117" spans="1:41" s="87" customFormat="1" x14ac:dyDescent="0.25">
      <c r="A117" s="88" t="s">
        <v>276</v>
      </c>
      <c r="B117" s="88" t="s">
        <v>1255</v>
      </c>
      <c r="C117" s="88" t="s">
        <v>197</v>
      </c>
      <c r="D117" s="88" t="s">
        <v>250</v>
      </c>
      <c r="E117" s="88" t="s">
        <v>351</v>
      </c>
      <c r="F117" s="88" t="s">
        <v>387</v>
      </c>
      <c r="G117" s="88">
        <v>2014</v>
      </c>
      <c r="H117" s="88">
        <v>2018</v>
      </c>
      <c r="I117" s="88" t="s">
        <v>1256</v>
      </c>
      <c r="J117" s="88" t="s">
        <v>351</v>
      </c>
      <c r="K117" s="92" t="s">
        <v>1257</v>
      </c>
      <c r="L117" s="93"/>
      <c r="M117" s="94" t="s">
        <v>2272</v>
      </c>
      <c r="N117" s="88" t="s">
        <v>79</v>
      </c>
      <c r="O117" s="88" t="s">
        <v>336</v>
      </c>
      <c r="P117" s="88" t="s">
        <v>81</v>
      </c>
      <c r="Q117" s="88" t="s">
        <v>76</v>
      </c>
      <c r="R117" s="88" t="s">
        <v>138</v>
      </c>
      <c r="S117" s="88" t="s">
        <v>331</v>
      </c>
      <c r="T117" s="88" t="s">
        <v>331</v>
      </c>
      <c r="U117" s="88" t="s">
        <v>130</v>
      </c>
      <c r="V117" s="88" t="s">
        <v>351</v>
      </c>
      <c r="W117" s="88" t="s">
        <v>339</v>
      </c>
      <c r="X117" s="88" t="s">
        <v>130</v>
      </c>
      <c r="Y117" s="88" t="s">
        <v>339</v>
      </c>
      <c r="Z117" s="88" t="s">
        <v>339</v>
      </c>
      <c r="AA117" s="95"/>
      <c r="AB117" s="88" t="s">
        <v>1258</v>
      </c>
      <c r="AC117" s="88" t="s">
        <v>1259</v>
      </c>
      <c r="AD117" s="88" t="s">
        <v>1260</v>
      </c>
      <c r="AE117" s="88" t="s">
        <v>359</v>
      </c>
      <c r="AF117" s="88" t="s">
        <v>130</v>
      </c>
      <c r="AG117" s="88" t="s">
        <v>361</v>
      </c>
      <c r="AH117" s="88" t="s">
        <v>1261</v>
      </c>
      <c r="AI117" s="88" t="s">
        <v>1262</v>
      </c>
      <c r="AJ117" s="95"/>
      <c r="AK117" s="88" t="s">
        <v>1263</v>
      </c>
      <c r="AL117" s="88" t="s">
        <v>339</v>
      </c>
      <c r="AM117" s="95"/>
      <c r="AN117" s="96" t="s">
        <v>1264</v>
      </c>
      <c r="AO117" s="84"/>
    </row>
    <row r="118" spans="1:41" s="85" customFormat="1" x14ac:dyDescent="0.25">
      <c r="A118" s="88" t="s">
        <v>277</v>
      </c>
      <c r="B118" s="88" t="s">
        <v>1265</v>
      </c>
      <c r="C118" s="88" t="s">
        <v>197</v>
      </c>
      <c r="D118" s="88" t="s">
        <v>43</v>
      </c>
      <c r="E118" s="88" t="s">
        <v>351</v>
      </c>
      <c r="F118" s="88" t="s">
        <v>406</v>
      </c>
      <c r="G118" s="100" t="s">
        <v>1266</v>
      </c>
      <c r="H118" s="88">
        <v>2019</v>
      </c>
      <c r="I118" s="88" t="s">
        <v>353</v>
      </c>
      <c r="J118" s="88" t="s">
        <v>335</v>
      </c>
      <c r="K118" s="92" t="s">
        <v>1267</v>
      </c>
      <c r="L118" s="93"/>
      <c r="M118" s="94" t="s">
        <v>2270</v>
      </c>
      <c r="N118" s="88" t="s">
        <v>121</v>
      </c>
      <c r="O118" s="88" t="s">
        <v>92</v>
      </c>
      <c r="P118" s="88" t="s">
        <v>134</v>
      </c>
      <c r="Q118" s="88" t="s">
        <v>139</v>
      </c>
      <c r="R118" s="88" t="s">
        <v>138</v>
      </c>
      <c r="S118" s="88" t="s">
        <v>331</v>
      </c>
      <c r="T118" s="88" t="s">
        <v>331</v>
      </c>
      <c r="U118" s="88" t="s">
        <v>130</v>
      </c>
      <c r="V118" s="88" t="s">
        <v>331</v>
      </c>
      <c r="W118" s="88" t="s">
        <v>356</v>
      </c>
      <c r="X118" s="88" t="s">
        <v>130</v>
      </c>
      <c r="Y118" s="88" t="s">
        <v>331</v>
      </c>
      <c r="Z118" s="88" t="s">
        <v>339</v>
      </c>
      <c r="AA118" s="95"/>
      <c r="AB118" s="88" t="s">
        <v>1268</v>
      </c>
      <c r="AC118" s="88" t="s">
        <v>1269</v>
      </c>
      <c r="AD118" s="88" t="s">
        <v>342</v>
      </c>
      <c r="AE118" s="88" t="s">
        <v>359</v>
      </c>
      <c r="AF118" s="88" t="s">
        <v>130</v>
      </c>
      <c r="AG118" s="88" t="s">
        <v>361</v>
      </c>
      <c r="AH118" s="88" t="s">
        <v>375</v>
      </c>
      <c r="AI118" s="88" t="s">
        <v>346</v>
      </c>
      <c r="AJ118" s="95"/>
      <c r="AK118" s="88" t="s">
        <v>339</v>
      </c>
      <c r="AL118" s="88" t="s">
        <v>339</v>
      </c>
      <c r="AM118" s="95"/>
      <c r="AN118" s="96" t="s">
        <v>1270</v>
      </c>
      <c r="AO118" s="84"/>
    </row>
    <row r="119" spans="1:41" s="85" customFormat="1" x14ac:dyDescent="0.25">
      <c r="A119" s="88" t="s">
        <v>277</v>
      </c>
      <c r="B119" s="88" t="s">
        <v>1271</v>
      </c>
      <c r="C119" s="88" t="s">
        <v>197</v>
      </c>
      <c r="D119" s="88" t="s">
        <v>43</v>
      </c>
      <c r="E119" s="88" t="s">
        <v>351</v>
      </c>
      <c r="F119" s="88" t="s">
        <v>484</v>
      </c>
      <c r="G119" s="88" t="s">
        <v>416</v>
      </c>
      <c r="H119" s="88" t="s">
        <v>333</v>
      </c>
      <c r="I119" s="88" t="s">
        <v>353</v>
      </c>
      <c r="J119" s="88" t="s">
        <v>351</v>
      </c>
      <c r="K119" s="92" t="s">
        <v>1272</v>
      </c>
      <c r="L119" s="93"/>
      <c r="M119" s="94" t="s">
        <v>2272</v>
      </c>
      <c r="N119" s="88" t="s">
        <v>355</v>
      </c>
      <c r="O119" s="88" t="s">
        <v>98</v>
      </c>
      <c r="P119" s="88" t="s">
        <v>134</v>
      </c>
      <c r="Q119" s="88" t="s">
        <v>139</v>
      </c>
      <c r="R119" s="88" t="s">
        <v>138</v>
      </c>
      <c r="S119" s="88" t="s">
        <v>331</v>
      </c>
      <c r="T119" s="88" t="s">
        <v>331</v>
      </c>
      <c r="U119" s="88" t="s">
        <v>130</v>
      </c>
      <c r="V119" s="88" t="s">
        <v>339</v>
      </c>
      <c r="W119" s="88" t="s">
        <v>339</v>
      </c>
      <c r="X119" s="88" t="s">
        <v>130</v>
      </c>
      <c r="Y119" s="88" t="s">
        <v>339</v>
      </c>
      <c r="Z119" s="88" t="s">
        <v>339</v>
      </c>
      <c r="AA119" s="95"/>
      <c r="AB119" s="88" t="s">
        <v>1273</v>
      </c>
      <c r="AC119" s="88" t="s">
        <v>1274</v>
      </c>
      <c r="AD119" s="88" t="s">
        <v>342</v>
      </c>
      <c r="AE119" s="88" t="s">
        <v>359</v>
      </c>
      <c r="AF119" s="88" t="s">
        <v>130</v>
      </c>
      <c r="AG119" s="88" t="s">
        <v>361</v>
      </c>
      <c r="AH119" s="88" t="s">
        <v>375</v>
      </c>
      <c r="AI119" s="88" t="s">
        <v>346</v>
      </c>
      <c r="AJ119" s="95"/>
      <c r="AK119" s="88" t="s">
        <v>339</v>
      </c>
      <c r="AL119" s="88" t="s">
        <v>339</v>
      </c>
      <c r="AM119" s="95"/>
      <c r="AN119" s="96" t="s">
        <v>1275</v>
      </c>
      <c r="AO119" s="84"/>
    </row>
    <row r="120" spans="1:41" s="85" customFormat="1" x14ac:dyDescent="0.25">
      <c r="A120" s="88" t="s">
        <v>277</v>
      </c>
      <c r="B120" s="88" t="s">
        <v>1276</v>
      </c>
      <c r="C120" s="88" t="s">
        <v>197</v>
      </c>
      <c r="D120" s="88" t="s">
        <v>43</v>
      </c>
      <c r="E120" s="88" t="s">
        <v>351</v>
      </c>
      <c r="F120" s="88" t="s">
        <v>484</v>
      </c>
      <c r="G120" s="88" t="s">
        <v>416</v>
      </c>
      <c r="H120" s="88" t="s">
        <v>333</v>
      </c>
      <c r="I120" s="88" t="s">
        <v>353</v>
      </c>
      <c r="J120" s="88" t="s">
        <v>351</v>
      </c>
      <c r="K120" s="92" t="s">
        <v>1277</v>
      </c>
      <c r="L120" s="93"/>
      <c r="M120" s="94" t="s">
        <v>2248</v>
      </c>
      <c r="N120" s="88" t="s">
        <v>1278</v>
      </c>
      <c r="O120" s="88" t="s">
        <v>1279</v>
      </c>
      <c r="P120" s="88" t="s">
        <v>134</v>
      </c>
      <c r="Q120" s="88" t="s">
        <v>139</v>
      </c>
      <c r="R120" s="88" t="s">
        <v>138</v>
      </c>
      <c r="S120" s="88" t="s">
        <v>331</v>
      </c>
      <c r="T120" s="88" t="s">
        <v>331</v>
      </c>
      <c r="U120" s="88" t="s">
        <v>130</v>
      </c>
      <c r="V120" s="88" t="s">
        <v>331</v>
      </c>
      <c r="W120" s="88" t="s">
        <v>339</v>
      </c>
      <c r="X120" s="88" t="s">
        <v>130</v>
      </c>
      <c r="Y120" s="88" t="s">
        <v>331</v>
      </c>
      <c r="Z120" s="88" t="s">
        <v>339</v>
      </c>
      <c r="AA120" s="95"/>
      <c r="AB120" s="88" t="s">
        <v>1280</v>
      </c>
      <c r="AC120" s="88" t="s">
        <v>1281</v>
      </c>
      <c r="AD120" s="88" t="s">
        <v>342</v>
      </c>
      <c r="AE120" s="88" t="s">
        <v>359</v>
      </c>
      <c r="AF120" s="88" t="s">
        <v>1282</v>
      </c>
      <c r="AG120" s="88" t="s">
        <v>361</v>
      </c>
      <c r="AH120" s="88" t="s">
        <v>375</v>
      </c>
      <c r="AI120" s="88" t="s">
        <v>346</v>
      </c>
      <c r="AJ120" s="95"/>
      <c r="AK120" s="88" t="s">
        <v>339</v>
      </c>
      <c r="AL120" s="88" t="s">
        <v>1283</v>
      </c>
      <c r="AM120" s="95"/>
      <c r="AN120" s="96" t="s">
        <v>1284</v>
      </c>
      <c r="AO120" s="84"/>
    </row>
    <row r="121" spans="1:41" s="85" customFormat="1" x14ac:dyDescent="0.25">
      <c r="A121" s="88" t="s">
        <v>277</v>
      </c>
      <c r="B121" s="88" t="s">
        <v>1285</v>
      </c>
      <c r="C121" s="88" t="s">
        <v>197</v>
      </c>
      <c r="D121" s="88" t="s">
        <v>43</v>
      </c>
      <c r="E121" s="88" t="s">
        <v>351</v>
      </c>
      <c r="F121" s="88" t="s">
        <v>406</v>
      </c>
      <c r="G121" s="100" t="s">
        <v>1286</v>
      </c>
      <c r="H121" s="88" t="s">
        <v>333</v>
      </c>
      <c r="I121" s="88" t="s">
        <v>353</v>
      </c>
      <c r="J121" s="88" t="s">
        <v>351</v>
      </c>
      <c r="K121" s="92" t="s">
        <v>1276</v>
      </c>
      <c r="L121" s="93"/>
      <c r="M121" s="94" t="s">
        <v>2248</v>
      </c>
      <c r="N121" s="88" t="s">
        <v>79</v>
      </c>
      <c r="O121" s="88" t="s">
        <v>336</v>
      </c>
      <c r="P121" s="88" t="s">
        <v>134</v>
      </c>
      <c r="Q121" s="88" t="s">
        <v>76</v>
      </c>
      <c r="R121" s="88" t="s">
        <v>138</v>
      </c>
      <c r="S121" s="88" t="s">
        <v>1276</v>
      </c>
      <c r="T121" s="88" t="s">
        <v>331</v>
      </c>
      <c r="U121" s="88" t="s">
        <v>130</v>
      </c>
      <c r="V121" s="88" t="s">
        <v>331</v>
      </c>
      <c r="W121" s="88" t="s">
        <v>356</v>
      </c>
      <c r="X121" s="88" t="s">
        <v>130</v>
      </c>
      <c r="Y121" s="88" t="s">
        <v>339</v>
      </c>
      <c r="Z121" s="88" t="s">
        <v>339</v>
      </c>
      <c r="AA121" s="95"/>
      <c r="AB121" s="88" t="s">
        <v>1287</v>
      </c>
      <c r="AC121" s="88" t="s">
        <v>1288</v>
      </c>
      <c r="AD121" s="88" t="s">
        <v>342</v>
      </c>
      <c r="AE121" s="88" t="s">
        <v>394</v>
      </c>
      <c r="AF121" s="88" t="s">
        <v>130</v>
      </c>
      <c r="AG121" s="88" t="s">
        <v>361</v>
      </c>
      <c r="AH121" s="88" t="s">
        <v>375</v>
      </c>
      <c r="AI121" s="88" t="s">
        <v>346</v>
      </c>
      <c r="AJ121" s="95"/>
      <c r="AK121" s="88" t="s">
        <v>339</v>
      </c>
      <c r="AL121" s="88" t="s">
        <v>1289</v>
      </c>
      <c r="AM121" s="95"/>
      <c r="AN121" s="96" t="s">
        <v>1290</v>
      </c>
      <c r="AO121" s="84"/>
    </row>
    <row r="122" spans="1:41" s="85" customFormat="1" x14ac:dyDescent="0.25">
      <c r="A122" s="88" t="s">
        <v>278</v>
      </c>
      <c r="B122" s="88" t="s">
        <v>1291</v>
      </c>
      <c r="C122" s="88" t="s">
        <v>252</v>
      </c>
      <c r="D122" s="88" t="s">
        <v>25</v>
      </c>
      <c r="E122" s="88" t="s">
        <v>331</v>
      </c>
      <c r="F122" s="88" t="s">
        <v>332</v>
      </c>
      <c r="G122" s="88">
        <v>2020</v>
      </c>
      <c r="H122" s="88">
        <v>2021</v>
      </c>
      <c r="I122" s="88" t="s">
        <v>1292</v>
      </c>
      <c r="J122" s="88" t="s">
        <v>335</v>
      </c>
      <c r="K122" s="92" t="s">
        <v>1292</v>
      </c>
      <c r="L122" s="93"/>
      <c r="M122" s="94" t="s">
        <v>2270</v>
      </c>
      <c r="N122" s="88" t="s">
        <v>1293</v>
      </c>
      <c r="O122" s="88" t="s">
        <v>336</v>
      </c>
      <c r="P122" s="88" t="s">
        <v>1294</v>
      </c>
      <c r="Q122" s="88" t="s">
        <v>1295</v>
      </c>
      <c r="R122" s="88" t="s">
        <v>77</v>
      </c>
      <c r="S122" s="88" t="s">
        <v>331</v>
      </c>
      <c r="T122" s="88" t="s">
        <v>351</v>
      </c>
      <c r="U122" s="88" t="s">
        <v>78</v>
      </c>
      <c r="V122" s="88" t="s">
        <v>339</v>
      </c>
      <c r="W122" s="88" t="s">
        <v>2237</v>
      </c>
      <c r="X122" s="88" t="s">
        <v>130</v>
      </c>
      <c r="Y122" s="88" t="s">
        <v>339</v>
      </c>
      <c r="Z122" s="88" t="s">
        <v>339</v>
      </c>
      <c r="AA122" s="95"/>
      <c r="AB122" s="88" t="s">
        <v>1296</v>
      </c>
      <c r="AC122" s="88" t="s">
        <v>1297</v>
      </c>
      <c r="AD122" s="88" t="s">
        <v>342</v>
      </c>
      <c r="AE122" s="88" t="s">
        <v>359</v>
      </c>
      <c r="AF122" s="88" t="s">
        <v>130</v>
      </c>
      <c r="AG122" s="88" t="s">
        <v>542</v>
      </c>
      <c r="AH122" s="88" t="s">
        <v>1298</v>
      </c>
      <c r="AI122" s="88" t="s">
        <v>346</v>
      </c>
      <c r="AJ122" s="95"/>
      <c r="AK122" s="88" t="s">
        <v>529</v>
      </c>
      <c r="AL122" s="88" t="s">
        <v>529</v>
      </c>
      <c r="AM122" s="95"/>
      <c r="AN122" s="96" t="s">
        <v>1299</v>
      </c>
      <c r="AO122" s="84"/>
    </row>
    <row r="123" spans="1:41" s="85" customFormat="1" x14ac:dyDescent="0.25">
      <c r="A123" s="88" t="s">
        <v>278</v>
      </c>
      <c r="B123" s="88" t="s">
        <v>1300</v>
      </c>
      <c r="C123" s="88" t="s">
        <v>252</v>
      </c>
      <c r="D123" s="88" t="s">
        <v>25</v>
      </c>
      <c r="E123" s="88" t="s">
        <v>331</v>
      </c>
      <c r="F123" s="88" t="s">
        <v>332</v>
      </c>
      <c r="G123" s="88">
        <v>2016</v>
      </c>
      <c r="H123" s="88">
        <v>2026</v>
      </c>
      <c r="I123" s="88" t="s">
        <v>1301</v>
      </c>
      <c r="J123" s="88" t="s">
        <v>335</v>
      </c>
      <c r="K123" s="92" t="s">
        <v>1301</v>
      </c>
      <c r="L123" s="93"/>
      <c r="M123" s="119" t="s">
        <v>2252</v>
      </c>
      <c r="N123" s="88" t="s">
        <v>1302</v>
      </c>
      <c r="O123" s="88" t="s">
        <v>684</v>
      </c>
      <c r="P123" s="88" t="s">
        <v>1303</v>
      </c>
      <c r="Q123" s="88" t="s">
        <v>1304</v>
      </c>
      <c r="R123" s="88" t="s">
        <v>1305</v>
      </c>
      <c r="S123" s="88" t="s">
        <v>2259</v>
      </c>
      <c r="T123" s="88" t="s">
        <v>331</v>
      </c>
      <c r="U123" s="88" t="s">
        <v>523</v>
      </c>
      <c r="V123" s="88" t="s">
        <v>351</v>
      </c>
      <c r="W123" s="88" t="s">
        <v>351</v>
      </c>
      <c r="X123" s="88" t="s">
        <v>490</v>
      </c>
      <c r="Y123" s="88" t="s">
        <v>351</v>
      </c>
      <c r="Z123" s="88" t="s">
        <v>512</v>
      </c>
      <c r="AA123" s="95"/>
      <c r="AB123" s="88" t="s">
        <v>1306</v>
      </c>
      <c r="AC123" s="88" t="s">
        <v>1307</v>
      </c>
      <c r="AD123" s="88" t="s">
        <v>1308</v>
      </c>
      <c r="AE123" s="88" t="s">
        <v>359</v>
      </c>
      <c r="AF123" s="88" t="s">
        <v>130</v>
      </c>
      <c r="AG123" s="88" t="s">
        <v>1309</v>
      </c>
      <c r="AH123" s="88" t="s">
        <v>375</v>
      </c>
      <c r="AI123" s="88" t="s">
        <v>346</v>
      </c>
      <c r="AJ123" s="95"/>
      <c r="AK123" s="88" t="s">
        <v>529</v>
      </c>
      <c r="AL123" s="88" t="s">
        <v>529</v>
      </c>
      <c r="AM123" s="95"/>
      <c r="AN123" s="120" t="s">
        <v>1310</v>
      </c>
      <c r="AO123" s="84"/>
    </row>
    <row r="124" spans="1:41" s="85" customFormat="1" x14ac:dyDescent="0.25">
      <c r="A124" s="88" t="s">
        <v>278</v>
      </c>
      <c r="B124" s="88" t="s">
        <v>1311</v>
      </c>
      <c r="C124" s="88" t="s">
        <v>252</v>
      </c>
      <c r="D124" s="88" t="s">
        <v>25</v>
      </c>
      <c r="E124" s="88" t="s">
        <v>331</v>
      </c>
      <c r="F124" s="88" t="s">
        <v>332</v>
      </c>
      <c r="G124" s="88">
        <v>2010</v>
      </c>
      <c r="H124" s="88" t="s">
        <v>333</v>
      </c>
      <c r="I124" s="88" t="s">
        <v>1312</v>
      </c>
      <c r="J124" s="88" t="s">
        <v>351</v>
      </c>
      <c r="K124" s="92" t="s">
        <v>1313</v>
      </c>
      <c r="L124" s="93"/>
      <c r="M124" s="94" t="s">
        <v>2272</v>
      </c>
      <c r="N124" s="88" t="s">
        <v>1314</v>
      </c>
      <c r="O124" s="88" t="s">
        <v>336</v>
      </c>
      <c r="P124" s="88" t="s">
        <v>123</v>
      </c>
      <c r="Q124" s="88" t="s">
        <v>139</v>
      </c>
      <c r="R124" s="88" t="s">
        <v>83</v>
      </c>
      <c r="S124" s="88" t="s">
        <v>331</v>
      </c>
      <c r="T124" s="88" t="s">
        <v>331</v>
      </c>
      <c r="U124" s="88" t="s">
        <v>130</v>
      </c>
      <c r="V124" s="88" t="s">
        <v>331</v>
      </c>
      <c r="W124" s="88" t="s">
        <v>529</v>
      </c>
      <c r="X124" s="88" t="s">
        <v>130</v>
      </c>
      <c r="Y124" s="88" t="s">
        <v>339</v>
      </c>
      <c r="Z124" s="88" t="s">
        <v>339</v>
      </c>
      <c r="AA124" s="95"/>
      <c r="AB124" s="88" t="s">
        <v>529</v>
      </c>
      <c r="AC124" s="88" t="s">
        <v>1315</v>
      </c>
      <c r="AD124" s="88" t="s">
        <v>342</v>
      </c>
      <c r="AE124" s="88" t="s">
        <v>359</v>
      </c>
      <c r="AF124" s="88" t="s">
        <v>130</v>
      </c>
      <c r="AG124" s="88" t="s">
        <v>542</v>
      </c>
      <c r="AH124" s="88" t="s">
        <v>375</v>
      </c>
      <c r="AI124" s="88" t="s">
        <v>544</v>
      </c>
      <c r="AJ124" s="95"/>
      <c r="AK124" s="88" t="s">
        <v>529</v>
      </c>
      <c r="AL124" s="88" t="s">
        <v>529</v>
      </c>
      <c r="AM124" s="95"/>
      <c r="AN124" s="96" t="s">
        <v>1316</v>
      </c>
      <c r="AO124" s="84"/>
    </row>
    <row r="125" spans="1:41" s="85" customFormat="1" x14ac:dyDescent="0.25">
      <c r="A125" s="88" t="s">
        <v>278</v>
      </c>
      <c r="B125" s="88" t="s">
        <v>1317</v>
      </c>
      <c r="C125" s="88" t="s">
        <v>252</v>
      </c>
      <c r="D125" s="88" t="s">
        <v>25</v>
      </c>
      <c r="E125" s="88" t="s">
        <v>331</v>
      </c>
      <c r="F125" s="88" t="s">
        <v>332</v>
      </c>
      <c r="G125" s="88">
        <v>2020</v>
      </c>
      <c r="H125" s="88" t="s">
        <v>333</v>
      </c>
      <c r="I125" s="88" t="s">
        <v>586</v>
      </c>
      <c r="J125" s="88" t="s">
        <v>335</v>
      </c>
      <c r="K125" s="92" t="s">
        <v>1318</v>
      </c>
      <c r="L125" s="93"/>
      <c r="M125" s="94" t="s">
        <v>2272</v>
      </c>
      <c r="N125" s="88" t="s">
        <v>79</v>
      </c>
      <c r="O125" s="88" t="s">
        <v>336</v>
      </c>
      <c r="P125" s="88" t="s">
        <v>134</v>
      </c>
      <c r="Q125" s="88" t="s">
        <v>139</v>
      </c>
      <c r="R125" s="88" t="s">
        <v>138</v>
      </c>
      <c r="S125" s="88" t="s">
        <v>331</v>
      </c>
      <c r="T125" s="88" t="s">
        <v>351</v>
      </c>
      <c r="U125" s="88" t="s">
        <v>1319</v>
      </c>
      <c r="V125" s="88" t="s">
        <v>331</v>
      </c>
      <c r="W125" s="88" t="s">
        <v>351</v>
      </c>
      <c r="X125" s="88" t="s">
        <v>425</v>
      </c>
      <c r="Y125" s="88" t="s">
        <v>331</v>
      </c>
      <c r="Z125" s="88" t="s">
        <v>130</v>
      </c>
      <c r="AA125" s="95"/>
      <c r="AB125" s="88" t="s">
        <v>1320</v>
      </c>
      <c r="AC125" s="88" t="s">
        <v>1321</v>
      </c>
      <c r="AD125" s="88" t="s">
        <v>342</v>
      </c>
      <c r="AE125" s="88" t="s">
        <v>359</v>
      </c>
      <c r="AF125" s="88" t="s">
        <v>130</v>
      </c>
      <c r="AG125" s="88" t="s">
        <v>1322</v>
      </c>
      <c r="AH125" s="88" t="s">
        <v>375</v>
      </c>
      <c r="AI125" s="88" t="s">
        <v>544</v>
      </c>
      <c r="AJ125" s="95"/>
      <c r="AK125" s="88" t="s">
        <v>529</v>
      </c>
      <c r="AL125" s="88" t="s">
        <v>529</v>
      </c>
      <c r="AM125" s="95"/>
      <c r="AN125" s="96" t="s">
        <v>1323</v>
      </c>
      <c r="AO125" s="84"/>
    </row>
    <row r="126" spans="1:41" s="85" customFormat="1" x14ac:dyDescent="0.25">
      <c r="A126" s="88" t="s">
        <v>278</v>
      </c>
      <c r="B126" s="88" t="s">
        <v>1324</v>
      </c>
      <c r="C126" s="88" t="s">
        <v>252</v>
      </c>
      <c r="D126" s="88" t="s">
        <v>25</v>
      </c>
      <c r="E126" s="88" t="s">
        <v>331</v>
      </c>
      <c r="F126" s="88" t="s">
        <v>332</v>
      </c>
      <c r="G126" s="88" t="s">
        <v>416</v>
      </c>
      <c r="H126" s="88" t="s">
        <v>333</v>
      </c>
      <c r="I126" s="88" t="s">
        <v>1325</v>
      </c>
      <c r="J126" s="88" t="s">
        <v>335</v>
      </c>
      <c r="K126" s="92" t="s">
        <v>1326</v>
      </c>
      <c r="L126" s="93"/>
      <c r="M126" s="94" t="s">
        <v>2248</v>
      </c>
      <c r="N126" s="88" t="s">
        <v>79</v>
      </c>
      <c r="O126" s="88" t="s">
        <v>550</v>
      </c>
      <c r="P126" s="88" t="s">
        <v>1327</v>
      </c>
      <c r="Q126" s="88" t="s">
        <v>139</v>
      </c>
      <c r="R126" s="88" t="s">
        <v>77</v>
      </c>
      <c r="S126" s="88" t="s">
        <v>331</v>
      </c>
      <c r="T126" s="88" t="s">
        <v>331</v>
      </c>
      <c r="U126" s="88" t="s">
        <v>523</v>
      </c>
      <c r="V126" s="88" t="s">
        <v>331</v>
      </c>
      <c r="W126" s="88" t="s">
        <v>2237</v>
      </c>
      <c r="X126" s="88" t="s">
        <v>130</v>
      </c>
      <c r="Y126" s="88" t="s">
        <v>331</v>
      </c>
      <c r="Z126" s="88" t="s">
        <v>130</v>
      </c>
      <c r="AA126" s="95"/>
      <c r="AB126" s="88" t="s">
        <v>529</v>
      </c>
      <c r="AC126" s="88" t="s">
        <v>1328</v>
      </c>
      <c r="AD126" s="88" t="s">
        <v>342</v>
      </c>
      <c r="AE126" s="88" t="s">
        <v>359</v>
      </c>
      <c r="AF126" s="88" t="s">
        <v>130</v>
      </c>
      <c r="AG126" s="88" t="s">
        <v>542</v>
      </c>
      <c r="AH126" s="88" t="s">
        <v>528</v>
      </c>
      <c r="AI126" s="88" t="s">
        <v>346</v>
      </c>
      <c r="AJ126" s="95"/>
      <c r="AK126" s="88" t="s">
        <v>339</v>
      </c>
      <c r="AL126" s="88" t="s">
        <v>339</v>
      </c>
      <c r="AM126" s="95"/>
      <c r="AN126" s="96" t="s">
        <v>1329</v>
      </c>
      <c r="AO126" s="84"/>
    </row>
    <row r="127" spans="1:41" s="85" customFormat="1" ht="51.75" x14ac:dyDescent="0.25">
      <c r="A127" s="88" t="s">
        <v>279</v>
      </c>
      <c r="B127" s="116" t="s">
        <v>1330</v>
      </c>
      <c r="C127" s="88" t="s">
        <v>42</v>
      </c>
      <c r="D127" s="88" t="s">
        <v>43</v>
      </c>
      <c r="E127" s="88" t="s">
        <v>351</v>
      </c>
      <c r="F127" s="88" t="s">
        <v>332</v>
      </c>
      <c r="G127" s="88">
        <v>2013</v>
      </c>
      <c r="H127" s="88">
        <v>2018</v>
      </c>
      <c r="I127" s="88" t="s">
        <v>1331</v>
      </c>
      <c r="J127" s="88" t="s">
        <v>351</v>
      </c>
      <c r="K127" s="92" t="s">
        <v>1332</v>
      </c>
      <c r="L127" s="93"/>
      <c r="M127" s="119" t="s">
        <v>2272</v>
      </c>
      <c r="N127" s="88" t="s">
        <v>424</v>
      </c>
      <c r="O127" s="88" t="s">
        <v>1333</v>
      </c>
      <c r="P127" s="88" t="s">
        <v>1334</v>
      </c>
      <c r="Q127" s="88" t="s">
        <v>1335</v>
      </c>
      <c r="R127" s="88" t="s">
        <v>410</v>
      </c>
      <c r="S127" s="88" t="s">
        <v>331</v>
      </c>
      <c r="T127" s="88" t="s">
        <v>331</v>
      </c>
      <c r="U127" s="88" t="s">
        <v>523</v>
      </c>
      <c r="V127" s="88" t="s">
        <v>339</v>
      </c>
      <c r="W127" s="88" t="s">
        <v>356</v>
      </c>
      <c r="X127" s="88" t="s">
        <v>130</v>
      </c>
      <c r="Y127" s="88" t="s">
        <v>351</v>
      </c>
      <c r="Z127" s="88" t="s">
        <v>339</v>
      </c>
      <c r="AA127" s="95"/>
      <c r="AB127" s="88" t="s">
        <v>1336</v>
      </c>
      <c r="AC127" s="88" t="s">
        <v>1337</v>
      </c>
      <c r="AD127" s="88" t="s">
        <v>342</v>
      </c>
      <c r="AE127" s="88" t="s">
        <v>394</v>
      </c>
      <c r="AF127" s="88" t="s">
        <v>130</v>
      </c>
      <c r="AG127" s="88" t="s">
        <v>542</v>
      </c>
      <c r="AH127" s="88" t="s">
        <v>528</v>
      </c>
      <c r="AI127" s="88" t="s">
        <v>346</v>
      </c>
      <c r="AJ127" s="95"/>
      <c r="AK127" s="88" t="s">
        <v>1338</v>
      </c>
      <c r="AL127" s="88" t="s">
        <v>529</v>
      </c>
      <c r="AM127" s="95"/>
      <c r="AN127" s="96" t="s">
        <v>1339</v>
      </c>
      <c r="AO127" s="84"/>
    </row>
    <row r="128" spans="1:41" s="85" customFormat="1" ht="18.600000000000001" customHeight="1" x14ac:dyDescent="0.25">
      <c r="A128" s="88" t="s">
        <v>279</v>
      </c>
      <c r="B128" s="88" t="s">
        <v>1340</v>
      </c>
      <c r="C128" s="88" t="s">
        <v>42</v>
      </c>
      <c r="D128" s="88" t="s">
        <v>43</v>
      </c>
      <c r="E128" s="88" t="s">
        <v>351</v>
      </c>
      <c r="F128" s="88" t="s">
        <v>332</v>
      </c>
      <c r="G128" s="88">
        <v>2017</v>
      </c>
      <c r="H128" s="88">
        <v>2020</v>
      </c>
      <c r="I128" s="88" t="s">
        <v>1331</v>
      </c>
      <c r="J128" s="88" t="s">
        <v>351</v>
      </c>
      <c r="K128" s="92" t="s">
        <v>671</v>
      </c>
      <c r="L128" s="93"/>
      <c r="M128" s="94" t="s">
        <v>2270</v>
      </c>
      <c r="N128" s="88" t="s">
        <v>1341</v>
      </c>
      <c r="O128" s="88" t="s">
        <v>1342</v>
      </c>
      <c r="P128" s="88" t="s">
        <v>1343</v>
      </c>
      <c r="Q128" s="88" t="s">
        <v>1344</v>
      </c>
      <c r="R128" s="88" t="s">
        <v>1345</v>
      </c>
      <c r="S128" s="88" t="s">
        <v>331</v>
      </c>
      <c r="T128" s="88" t="s">
        <v>331</v>
      </c>
      <c r="U128" s="88" t="s">
        <v>130</v>
      </c>
      <c r="V128" s="88" t="s">
        <v>351</v>
      </c>
      <c r="W128" s="88" t="s">
        <v>339</v>
      </c>
      <c r="X128" s="88" t="s">
        <v>130</v>
      </c>
      <c r="Y128" s="88" t="s">
        <v>351</v>
      </c>
      <c r="Z128" s="88" t="s">
        <v>380</v>
      </c>
      <c r="AA128" s="95"/>
      <c r="AB128" s="88" t="s">
        <v>1346</v>
      </c>
      <c r="AC128" s="116" t="s">
        <v>2239</v>
      </c>
      <c r="AD128" s="88" t="s">
        <v>1347</v>
      </c>
      <c r="AE128" s="88" t="s">
        <v>359</v>
      </c>
      <c r="AF128" s="88" t="s">
        <v>130</v>
      </c>
      <c r="AG128" s="88" t="s">
        <v>361</v>
      </c>
      <c r="AH128" s="88" t="s">
        <v>375</v>
      </c>
      <c r="AI128" s="88" t="s">
        <v>346</v>
      </c>
      <c r="AJ128" s="95"/>
      <c r="AK128" s="88" t="s">
        <v>529</v>
      </c>
      <c r="AL128" s="88" t="s">
        <v>339</v>
      </c>
      <c r="AM128" s="95"/>
      <c r="AN128" s="96" t="s">
        <v>1348</v>
      </c>
      <c r="AO128" s="84"/>
    </row>
    <row r="129" spans="1:41" s="85" customFormat="1" x14ac:dyDescent="0.25">
      <c r="A129" s="88" t="s">
        <v>279</v>
      </c>
      <c r="B129" s="88" t="s">
        <v>1349</v>
      </c>
      <c r="C129" s="88" t="s">
        <v>42</v>
      </c>
      <c r="D129" s="88" t="s">
        <v>43</v>
      </c>
      <c r="E129" s="88" t="s">
        <v>351</v>
      </c>
      <c r="F129" s="88" t="s">
        <v>399</v>
      </c>
      <c r="G129" s="105" t="s">
        <v>1350</v>
      </c>
      <c r="H129" s="88" t="s">
        <v>333</v>
      </c>
      <c r="I129" s="88" t="s">
        <v>1351</v>
      </c>
      <c r="J129" s="88" t="s">
        <v>335</v>
      </c>
      <c r="K129" s="92" t="s">
        <v>643</v>
      </c>
      <c r="L129" s="93"/>
      <c r="M129" s="94" t="s">
        <v>2270</v>
      </c>
      <c r="N129" s="88" t="s">
        <v>1352</v>
      </c>
      <c r="O129" s="88" t="s">
        <v>1353</v>
      </c>
      <c r="P129" s="88" t="s">
        <v>1354</v>
      </c>
      <c r="Q129" s="88" t="s">
        <v>1355</v>
      </c>
      <c r="R129" s="88" t="s">
        <v>1356</v>
      </c>
      <c r="S129" s="88" t="s">
        <v>331</v>
      </c>
      <c r="T129" s="88" t="s">
        <v>351</v>
      </c>
      <c r="U129" s="88" t="s">
        <v>84</v>
      </c>
      <c r="V129" s="88" t="s">
        <v>339</v>
      </c>
      <c r="W129" s="88" t="s">
        <v>356</v>
      </c>
      <c r="X129" s="88" t="s">
        <v>130</v>
      </c>
      <c r="Y129" s="88" t="s">
        <v>339</v>
      </c>
      <c r="Z129" s="88" t="s">
        <v>339</v>
      </c>
      <c r="AA129" s="95"/>
      <c r="AB129" s="88" t="s">
        <v>1357</v>
      </c>
      <c r="AC129" s="88" t="s">
        <v>1358</v>
      </c>
      <c r="AD129" s="88" t="s">
        <v>342</v>
      </c>
      <c r="AE129" s="88" t="s">
        <v>359</v>
      </c>
      <c r="AF129" s="88" t="s">
        <v>130</v>
      </c>
      <c r="AG129" s="88" t="s">
        <v>361</v>
      </c>
      <c r="AH129" s="88" t="s">
        <v>528</v>
      </c>
      <c r="AI129" s="88" t="s">
        <v>346</v>
      </c>
      <c r="AJ129" s="95"/>
      <c r="AK129" s="88" t="s">
        <v>339</v>
      </c>
      <c r="AL129" s="88" t="s">
        <v>529</v>
      </c>
      <c r="AM129" s="95"/>
      <c r="AN129" s="96" t="s">
        <v>1359</v>
      </c>
      <c r="AO129" s="84"/>
    </row>
    <row r="130" spans="1:41" s="85" customFormat="1" ht="39" x14ac:dyDescent="0.25">
      <c r="A130" s="88" t="s">
        <v>279</v>
      </c>
      <c r="B130" s="116" t="s">
        <v>1360</v>
      </c>
      <c r="C130" s="88" t="s">
        <v>42</v>
      </c>
      <c r="D130" s="88" t="s">
        <v>43</v>
      </c>
      <c r="E130" s="88" t="s">
        <v>351</v>
      </c>
      <c r="F130" s="88" t="s">
        <v>332</v>
      </c>
      <c r="G130" s="88">
        <v>2017</v>
      </c>
      <c r="H130" s="88">
        <v>2023</v>
      </c>
      <c r="I130" s="88" t="s">
        <v>1361</v>
      </c>
      <c r="J130" s="88" t="s">
        <v>351</v>
      </c>
      <c r="K130" s="92" t="s">
        <v>1362</v>
      </c>
      <c r="L130" s="93"/>
      <c r="M130" s="119" t="s">
        <v>2272</v>
      </c>
      <c r="N130" s="88" t="s">
        <v>1363</v>
      </c>
      <c r="O130" s="88" t="s">
        <v>98</v>
      </c>
      <c r="P130" s="88" t="s">
        <v>1364</v>
      </c>
      <c r="Q130" s="88" t="s">
        <v>139</v>
      </c>
      <c r="R130" s="88" t="s">
        <v>1365</v>
      </c>
      <c r="S130" s="88" t="s">
        <v>335</v>
      </c>
      <c r="T130" s="88" t="s">
        <v>331</v>
      </c>
      <c r="U130" s="88" t="s">
        <v>523</v>
      </c>
      <c r="V130" s="88" t="s">
        <v>351</v>
      </c>
      <c r="W130" s="88" t="s">
        <v>351</v>
      </c>
      <c r="X130" s="88" t="s">
        <v>425</v>
      </c>
      <c r="Y130" s="88" t="s">
        <v>351</v>
      </c>
      <c r="Z130" s="88" t="s">
        <v>380</v>
      </c>
      <c r="AA130" s="95"/>
      <c r="AB130" s="88" t="s">
        <v>1366</v>
      </c>
      <c r="AC130" s="88" t="s">
        <v>1367</v>
      </c>
      <c r="AD130" s="88" t="s">
        <v>342</v>
      </c>
      <c r="AE130" s="88" t="s">
        <v>394</v>
      </c>
      <c r="AF130" s="88" t="s">
        <v>130</v>
      </c>
      <c r="AG130" s="88" t="s">
        <v>542</v>
      </c>
      <c r="AH130" s="88" t="s">
        <v>375</v>
      </c>
      <c r="AI130" s="88" t="s">
        <v>346</v>
      </c>
      <c r="AJ130" s="95"/>
      <c r="AK130" s="88" t="s">
        <v>1368</v>
      </c>
      <c r="AL130" s="88" t="s">
        <v>529</v>
      </c>
      <c r="AM130" s="95"/>
      <c r="AN130" s="96" t="s">
        <v>1369</v>
      </c>
      <c r="AO130" s="84"/>
    </row>
    <row r="131" spans="1:41" s="85" customFormat="1" x14ac:dyDescent="0.25">
      <c r="A131" s="88" t="s">
        <v>279</v>
      </c>
      <c r="B131" s="88" t="s">
        <v>1370</v>
      </c>
      <c r="C131" s="88" t="s">
        <v>42</v>
      </c>
      <c r="D131" s="88" t="s">
        <v>43</v>
      </c>
      <c r="E131" s="88" t="s">
        <v>351</v>
      </c>
      <c r="F131" s="88" t="s">
        <v>332</v>
      </c>
      <c r="G131" s="88">
        <v>2012</v>
      </c>
      <c r="H131" s="88">
        <v>2017</v>
      </c>
      <c r="I131" s="88" t="s">
        <v>1371</v>
      </c>
      <c r="J131" s="88" t="s">
        <v>351</v>
      </c>
      <c r="K131" s="92" t="s">
        <v>671</v>
      </c>
      <c r="L131" s="93"/>
      <c r="M131" s="119" t="s">
        <v>2272</v>
      </c>
      <c r="N131" s="88" t="s">
        <v>1372</v>
      </c>
      <c r="O131" s="88" t="s">
        <v>1185</v>
      </c>
      <c r="P131" s="88" t="s">
        <v>1373</v>
      </c>
      <c r="Q131" s="88" t="s">
        <v>139</v>
      </c>
      <c r="R131" s="88" t="s">
        <v>83</v>
      </c>
      <c r="S131" s="88" t="s">
        <v>331</v>
      </c>
      <c r="T131" s="88" t="s">
        <v>331</v>
      </c>
      <c r="U131" s="88" t="s">
        <v>523</v>
      </c>
      <c r="V131" s="88" t="s">
        <v>351</v>
      </c>
      <c r="W131" s="88" t="s">
        <v>351</v>
      </c>
      <c r="X131" s="88" t="s">
        <v>425</v>
      </c>
      <c r="Y131" s="88" t="s">
        <v>351</v>
      </c>
      <c r="Z131" s="88" t="s">
        <v>339</v>
      </c>
      <c r="AA131" s="95"/>
      <c r="AB131" s="88" t="s">
        <v>1374</v>
      </c>
      <c r="AC131" s="88" t="s">
        <v>1375</v>
      </c>
      <c r="AD131" s="88" t="s">
        <v>1376</v>
      </c>
      <c r="AE131" s="88" t="s">
        <v>359</v>
      </c>
      <c r="AF131" s="88" t="s">
        <v>130</v>
      </c>
      <c r="AG131" s="88" t="s">
        <v>1377</v>
      </c>
      <c r="AH131" s="88" t="s">
        <v>375</v>
      </c>
      <c r="AI131" s="88" t="s">
        <v>544</v>
      </c>
      <c r="AJ131" s="95"/>
      <c r="AK131" s="88" t="s">
        <v>339</v>
      </c>
      <c r="AL131" s="88" t="s">
        <v>339</v>
      </c>
      <c r="AM131" s="95"/>
      <c r="AN131" s="96" t="s">
        <v>1378</v>
      </c>
      <c r="AO131" s="84"/>
    </row>
    <row r="132" spans="1:41" s="85" customFormat="1" x14ac:dyDescent="0.25">
      <c r="A132" s="88" t="s">
        <v>279</v>
      </c>
      <c r="B132" s="88" t="s">
        <v>1379</v>
      </c>
      <c r="C132" s="88" t="s">
        <v>42</v>
      </c>
      <c r="D132" s="88" t="s">
        <v>43</v>
      </c>
      <c r="E132" s="88" t="s">
        <v>351</v>
      </c>
      <c r="F132" s="88" t="s">
        <v>406</v>
      </c>
      <c r="G132" s="88">
        <v>2009</v>
      </c>
      <c r="H132" s="88" t="s">
        <v>333</v>
      </c>
      <c r="I132" s="88" t="s">
        <v>353</v>
      </c>
      <c r="J132" s="88" t="s">
        <v>351</v>
      </c>
      <c r="K132" s="92" t="s">
        <v>1380</v>
      </c>
      <c r="L132" s="93"/>
      <c r="M132" s="94" t="s">
        <v>2272</v>
      </c>
      <c r="N132" s="88" t="s">
        <v>121</v>
      </c>
      <c r="O132" s="88" t="s">
        <v>104</v>
      </c>
      <c r="P132" s="88" t="s">
        <v>134</v>
      </c>
      <c r="Q132" s="88" t="s">
        <v>139</v>
      </c>
      <c r="R132" s="88" t="s">
        <v>138</v>
      </c>
      <c r="S132" s="88" t="s">
        <v>331</v>
      </c>
      <c r="T132" s="88" t="s">
        <v>331</v>
      </c>
      <c r="U132" s="88" t="s">
        <v>130</v>
      </c>
      <c r="V132" s="88" t="s">
        <v>331</v>
      </c>
      <c r="W132" s="88" t="s">
        <v>356</v>
      </c>
      <c r="X132" s="88" t="s">
        <v>130</v>
      </c>
      <c r="Y132" s="88" t="s">
        <v>339</v>
      </c>
      <c r="Z132" s="88" t="s">
        <v>339</v>
      </c>
      <c r="AA132" s="95"/>
      <c r="AB132" s="88" t="s">
        <v>1381</v>
      </c>
      <c r="AC132" s="97" t="s">
        <v>1382</v>
      </c>
      <c r="AD132" s="88" t="s">
        <v>529</v>
      </c>
      <c r="AE132" s="88" t="s">
        <v>359</v>
      </c>
      <c r="AF132" s="88" t="s">
        <v>130</v>
      </c>
      <c r="AG132" s="88" t="s">
        <v>361</v>
      </c>
      <c r="AH132" s="88" t="s">
        <v>375</v>
      </c>
      <c r="AI132" s="88" t="s">
        <v>346</v>
      </c>
      <c r="AJ132" s="95"/>
      <c r="AK132" s="88" t="s">
        <v>339</v>
      </c>
      <c r="AL132" s="88" t="s">
        <v>1383</v>
      </c>
      <c r="AM132" s="95"/>
      <c r="AN132" s="88" t="s">
        <v>1384</v>
      </c>
      <c r="AO132" s="84"/>
    </row>
    <row r="133" spans="1:41" s="85" customFormat="1" x14ac:dyDescent="0.25">
      <c r="A133" s="88" t="s">
        <v>279</v>
      </c>
      <c r="B133" s="88" t="s">
        <v>1385</v>
      </c>
      <c r="C133" s="88" t="s">
        <v>42</v>
      </c>
      <c r="D133" s="88" t="s">
        <v>43</v>
      </c>
      <c r="E133" s="88" t="s">
        <v>351</v>
      </c>
      <c r="F133" s="88" t="s">
        <v>387</v>
      </c>
      <c r="G133" s="88">
        <v>2007</v>
      </c>
      <c r="H133" s="88" t="s">
        <v>333</v>
      </c>
      <c r="I133" s="88" t="s">
        <v>353</v>
      </c>
      <c r="J133" s="88" t="s">
        <v>351</v>
      </c>
      <c r="K133" s="92" t="s">
        <v>1386</v>
      </c>
      <c r="L133" s="93"/>
      <c r="M133" s="94" t="s">
        <v>2248</v>
      </c>
      <c r="N133" s="88" t="s">
        <v>73</v>
      </c>
      <c r="O133" s="88" t="s">
        <v>336</v>
      </c>
      <c r="P133" s="88" t="s">
        <v>134</v>
      </c>
      <c r="Q133" s="88" t="s">
        <v>139</v>
      </c>
      <c r="R133" s="88" t="s">
        <v>138</v>
      </c>
      <c r="S133" s="88" t="s">
        <v>331</v>
      </c>
      <c r="T133" s="88" t="s">
        <v>331</v>
      </c>
      <c r="U133" s="88" t="s">
        <v>130</v>
      </c>
      <c r="V133" s="88" t="s">
        <v>331</v>
      </c>
      <c r="W133" s="88" t="s">
        <v>351</v>
      </c>
      <c r="X133" s="88" t="s">
        <v>425</v>
      </c>
      <c r="Y133" s="88" t="s">
        <v>339</v>
      </c>
      <c r="Z133" s="88" t="s">
        <v>339</v>
      </c>
      <c r="AA133" s="95"/>
      <c r="AB133" s="88" t="s">
        <v>1387</v>
      </c>
      <c r="AC133" s="88" t="s">
        <v>1388</v>
      </c>
      <c r="AD133" s="88" t="s">
        <v>529</v>
      </c>
      <c r="AE133" s="88" t="s">
        <v>359</v>
      </c>
      <c r="AF133" s="88" t="s">
        <v>130</v>
      </c>
      <c r="AG133" s="88" t="s">
        <v>1389</v>
      </c>
      <c r="AH133" s="88" t="s">
        <v>375</v>
      </c>
      <c r="AI133" s="88" t="s">
        <v>346</v>
      </c>
      <c r="AJ133" s="95"/>
      <c r="AK133" s="88" t="s">
        <v>1390</v>
      </c>
      <c r="AL133" s="88" t="s">
        <v>1391</v>
      </c>
      <c r="AM133" s="95"/>
      <c r="AN133" s="88" t="s">
        <v>1392</v>
      </c>
      <c r="AO133" s="84"/>
    </row>
    <row r="134" spans="1:41" s="85" customFormat="1" x14ac:dyDescent="0.25">
      <c r="A134" s="88" t="s">
        <v>279</v>
      </c>
      <c r="B134" s="88" t="s">
        <v>1393</v>
      </c>
      <c r="C134" s="88" t="s">
        <v>42</v>
      </c>
      <c r="D134" s="88" t="s">
        <v>43</v>
      </c>
      <c r="E134" s="88" t="s">
        <v>351</v>
      </c>
      <c r="F134" s="88" t="s">
        <v>387</v>
      </c>
      <c r="G134" s="88">
        <v>2002</v>
      </c>
      <c r="H134" s="88" t="s">
        <v>333</v>
      </c>
      <c r="I134" s="88" t="s">
        <v>1394</v>
      </c>
      <c r="J134" s="88" t="s">
        <v>351</v>
      </c>
      <c r="K134" s="92" t="s">
        <v>1393</v>
      </c>
      <c r="L134" s="93"/>
      <c r="M134" s="94" t="s">
        <v>2248</v>
      </c>
      <c r="N134" s="88" t="s">
        <v>85</v>
      </c>
      <c r="O134" s="88" t="s">
        <v>1395</v>
      </c>
      <c r="P134" s="88" t="s">
        <v>1396</v>
      </c>
      <c r="Q134" s="88" t="s">
        <v>139</v>
      </c>
      <c r="R134" s="88" t="s">
        <v>138</v>
      </c>
      <c r="S134" s="88" t="s">
        <v>335</v>
      </c>
      <c r="T134" s="88" t="s">
        <v>331</v>
      </c>
      <c r="U134" s="88" t="s">
        <v>130</v>
      </c>
      <c r="V134" s="88" t="s">
        <v>351</v>
      </c>
      <c r="W134" s="88" t="s">
        <v>351</v>
      </c>
      <c r="X134" s="88" t="s">
        <v>425</v>
      </c>
      <c r="Y134" s="88" t="s">
        <v>339</v>
      </c>
      <c r="Z134" s="88" t="s">
        <v>339</v>
      </c>
      <c r="AA134" s="95"/>
      <c r="AB134" s="88" t="s">
        <v>1397</v>
      </c>
      <c r="AC134" s="88" t="s">
        <v>1398</v>
      </c>
      <c r="AD134" s="88" t="s">
        <v>1399</v>
      </c>
      <c r="AE134" s="88" t="s">
        <v>394</v>
      </c>
      <c r="AF134" s="88" t="s">
        <v>130</v>
      </c>
      <c r="AG134" s="103" t="s">
        <v>1400</v>
      </c>
      <c r="AH134" s="88" t="s">
        <v>1401</v>
      </c>
      <c r="AI134" s="88" t="s">
        <v>346</v>
      </c>
      <c r="AJ134" s="95"/>
      <c r="AK134" s="88" t="s">
        <v>1402</v>
      </c>
      <c r="AL134" s="88" t="s">
        <v>339</v>
      </c>
      <c r="AM134" s="95"/>
      <c r="AN134" s="96" t="s">
        <v>1403</v>
      </c>
      <c r="AO134" s="84"/>
    </row>
    <row r="135" spans="1:41" s="85" customFormat="1" x14ac:dyDescent="0.25">
      <c r="A135" s="88" t="s">
        <v>280</v>
      </c>
      <c r="B135" s="88" t="s">
        <v>1404</v>
      </c>
      <c r="C135" s="88" t="s">
        <v>252</v>
      </c>
      <c r="D135" s="88" t="s">
        <v>250</v>
      </c>
      <c r="E135" s="88" t="s">
        <v>351</v>
      </c>
      <c r="F135" s="88" t="s">
        <v>371</v>
      </c>
      <c r="G135" s="88">
        <v>2008</v>
      </c>
      <c r="H135" s="88" t="s">
        <v>333</v>
      </c>
      <c r="I135" s="88" t="s">
        <v>353</v>
      </c>
      <c r="J135" s="88" t="s">
        <v>335</v>
      </c>
      <c r="K135" s="92" t="s">
        <v>1405</v>
      </c>
      <c r="L135" s="93"/>
      <c r="M135" s="94" t="s">
        <v>2248</v>
      </c>
      <c r="N135" s="88" t="s">
        <v>896</v>
      </c>
      <c r="O135" s="88" t="s">
        <v>98</v>
      </c>
      <c r="P135" s="88" t="s">
        <v>134</v>
      </c>
      <c r="Q135" s="88" t="s">
        <v>139</v>
      </c>
      <c r="R135" s="88" t="s">
        <v>138</v>
      </c>
      <c r="S135" s="88" t="s">
        <v>331</v>
      </c>
      <c r="T135" s="88" t="s">
        <v>331</v>
      </c>
      <c r="U135" s="88" t="s">
        <v>130</v>
      </c>
      <c r="V135" s="88" t="s">
        <v>339</v>
      </c>
      <c r="W135" s="88" t="s">
        <v>339</v>
      </c>
      <c r="X135" s="88" t="s">
        <v>130</v>
      </c>
      <c r="Y135" s="88" t="s">
        <v>339</v>
      </c>
      <c r="Z135" s="88" t="s">
        <v>339</v>
      </c>
      <c r="AA135" s="95"/>
      <c r="AB135" s="88" t="s">
        <v>1406</v>
      </c>
      <c r="AC135" s="88" t="s">
        <v>1407</v>
      </c>
      <c r="AD135" s="88" t="s">
        <v>342</v>
      </c>
      <c r="AE135" s="88" t="s">
        <v>359</v>
      </c>
      <c r="AF135" s="88" t="s">
        <v>130</v>
      </c>
      <c r="AG135" s="88" t="s">
        <v>361</v>
      </c>
      <c r="AH135" s="88" t="s">
        <v>375</v>
      </c>
      <c r="AI135" s="88" t="s">
        <v>346</v>
      </c>
      <c r="AJ135" s="95"/>
      <c r="AK135" s="88" t="s">
        <v>339</v>
      </c>
      <c r="AL135" s="88" t="s">
        <v>339</v>
      </c>
      <c r="AM135" s="95"/>
      <c r="AN135" s="88" t="s">
        <v>1408</v>
      </c>
      <c r="AO135" s="84"/>
    </row>
    <row r="136" spans="1:41" s="85" customFormat="1" x14ac:dyDescent="0.25">
      <c r="A136" s="88" t="s">
        <v>281</v>
      </c>
      <c r="B136" s="88" t="s">
        <v>1409</v>
      </c>
      <c r="C136" s="88" t="s">
        <v>30</v>
      </c>
      <c r="D136" s="88" t="s">
        <v>248</v>
      </c>
      <c r="E136" s="88" t="s">
        <v>351</v>
      </c>
      <c r="F136" s="88" t="s">
        <v>399</v>
      </c>
      <c r="G136" s="88">
        <v>2019</v>
      </c>
      <c r="H136" s="88" t="s">
        <v>333</v>
      </c>
      <c r="I136" s="88" t="s">
        <v>1410</v>
      </c>
      <c r="J136" s="88" t="s">
        <v>335</v>
      </c>
      <c r="K136" s="92" t="s">
        <v>1411</v>
      </c>
      <c r="L136" s="93"/>
      <c r="M136" s="94" t="s">
        <v>2252</v>
      </c>
      <c r="N136" s="88" t="s">
        <v>1412</v>
      </c>
      <c r="O136" s="88" t="s">
        <v>98</v>
      </c>
      <c r="P136" s="88" t="s">
        <v>602</v>
      </c>
      <c r="Q136" s="88" t="s">
        <v>137</v>
      </c>
      <c r="R136" s="88" t="s">
        <v>453</v>
      </c>
      <c r="S136" s="88" t="s">
        <v>130</v>
      </c>
      <c r="T136" s="88" t="s">
        <v>331</v>
      </c>
      <c r="U136" s="88" t="s">
        <v>130</v>
      </c>
      <c r="V136" s="88" t="s">
        <v>339</v>
      </c>
      <c r="W136" s="88" t="s">
        <v>339</v>
      </c>
      <c r="X136" s="88" t="s">
        <v>130</v>
      </c>
      <c r="Y136" s="88" t="s">
        <v>339</v>
      </c>
      <c r="Z136" s="88" t="s">
        <v>339</v>
      </c>
      <c r="AA136" s="95"/>
      <c r="AB136" s="88" t="s">
        <v>1413</v>
      </c>
      <c r="AC136" s="88" t="s">
        <v>1414</v>
      </c>
      <c r="AD136" s="88" t="s">
        <v>342</v>
      </c>
      <c r="AE136" s="88" t="s">
        <v>359</v>
      </c>
      <c r="AF136" s="88" t="s">
        <v>1415</v>
      </c>
      <c r="AG136" s="88" t="s">
        <v>361</v>
      </c>
      <c r="AH136" s="88" t="s">
        <v>375</v>
      </c>
      <c r="AI136" s="88" t="s">
        <v>346</v>
      </c>
      <c r="AJ136" s="95"/>
      <c r="AK136" s="88" t="s">
        <v>339</v>
      </c>
      <c r="AL136" s="88" t="s">
        <v>339</v>
      </c>
      <c r="AM136" s="95"/>
      <c r="AN136" s="96" t="s">
        <v>1416</v>
      </c>
      <c r="AO136" s="84"/>
    </row>
    <row r="137" spans="1:41" s="85" customFormat="1" x14ac:dyDescent="0.25">
      <c r="A137" s="88" t="s">
        <v>281</v>
      </c>
      <c r="B137" s="88" t="s">
        <v>1417</v>
      </c>
      <c r="C137" s="88" t="s">
        <v>30</v>
      </c>
      <c r="D137" s="88" t="s">
        <v>248</v>
      </c>
      <c r="E137" s="88" t="s">
        <v>351</v>
      </c>
      <c r="F137" s="88" t="s">
        <v>387</v>
      </c>
      <c r="G137" s="88">
        <v>2019</v>
      </c>
      <c r="H137" s="88" t="s">
        <v>333</v>
      </c>
      <c r="I137" s="88" t="s">
        <v>1410</v>
      </c>
      <c r="J137" s="88" t="s">
        <v>335</v>
      </c>
      <c r="K137" s="92" t="s">
        <v>1418</v>
      </c>
      <c r="L137" s="93"/>
      <c r="M137" s="94" t="s">
        <v>2272</v>
      </c>
      <c r="N137" s="88" t="s">
        <v>79</v>
      </c>
      <c r="O137" s="88" t="s">
        <v>336</v>
      </c>
      <c r="P137" s="88" t="s">
        <v>81</v>
      </c>
      <c r="Q137" s="88" t="s">
        <v>137</v>
      </c>
      <c r="R137" s="88" t="s">
        <v>138</v>
      </c>
      <c r="S137" s="88" t="s">
        <v>1409</v>
      </c>
      <c r="T137" s="88" t="s">
        <v>331</v>
      </c>
      <c r="U137" s="88" t="s">
        <v>130</v>
      </c>
      <c r="V137" s="88" t="s">
        <v>339</v>
      </c>
      <c r="W137" s="88" t="s">
        <v>339</v>
      </c>
      <c r="X137" s="88" t="s">
        <v>130</v>
      </c>
      <c r="Y137" s="88" t="s">
        <v>339</v>
      </c>
      <c r="Z137" s="88" t="s">
        <v>339</v>
      </c>
      <c r="AA137" s="95"/>
      <c r="AB137" s="88" t="s">
        <v>1419</v>
      </c>
      <c r="AC137" s="88" t="s">
        <v>1420</v>
      </c>
      <c r="AD137" s="88" t="s">
        <v>342</v>
      </c>
      <c r="AE137" s="88" t="s">
        <v>359</v>
      </c>
      <c r="AF137" s="88" t="s">
        <v>130</v>
      </c>
      <c r="AG137" s="88" t="s">
        <v>361</v>
      </c>
      <c r="AH137" s="88" t="s">
        <v>375</v>
      </c>
      <c r="AI137" s="88" t="s">
        <v>346</v>
      </c>
      <c r="AJ137" s="95"/>
      <c r="AK137" s="88" t="s">
        <v>339</v>
      </c>
      <c r="AL137" s="88" t="s">
        <v>339</v>
      </c>
      <c r="AM137" s="95"/>
      <c r="AN137" s="96" t="s">
        <v>1421</v>
      </c>
      <c r="AO137" s="84"/>
    </row>
    <row r="138" spans="1:41" s="85" customFormat="1" x14ac:dyDescent="0.25">
      <c r="A138" s="88" t="s">
        <v>281</v>
      </c>
      <c r="B138" s="88" t="s">
        <v>1418</v>
      </c>
      <c r="C138" s="88" t="s">
        <v>30</v>
      </c>
      <c r="D138" s="88" t="s">
        <v>248</v>
      </c>
      <c r="E138" s="88" t="s">
        <v>351</v>
      </c>
      <c r="F138" s="88" t="s">
        <v>387</v>
      </c>
      <c r="G138" s="88">
        <v>2004</v>
      </c>
      <c r="H138" s="88" t="s">
        <v>333</v>
      </c>
      <c r="I138" s="88" t="s">
        <v>586</v>
      </c>
      <c r="J138" s="88" t="s">
        <v>335</v>
      </c>
      <c r="K138" s="92" t="s">
        <v>1418</v>
      </c>
      <c r="L138" s="93"/>
      <c r="M138" s="94" t="s">
        <v>2248</v>
      </c>
      <c r="N138" s="88" t="s">
        <v>355</v>
      </c>
      <c r="O138" s="88" t="s">
        <v>98</v>
      </c>
      <c r="P138" s="88" t="s">
        <v>134</v>
      </c>
      <c r="Q138" s="88" t="s">
        <v>1422</v>
      </c>
      <c r="R138" s="88" t="s">
        <v>138</v>
      </c>
      <c r="S138" s="88" t="s">
        <v>1409</v>
      </c>
      <c r="T138" s="88" t="s">
        <v>331</v>
      </c>
      <c r="U138" s="88" t="s">
        <v>130</v>
      </c>
      <c r="V138" s="88" t="s">
        <v>339</v>
      </c>
      <c r="W138" s="88" t="s">
        <v>351</v>
      </c>
      <c r="X138" s="88" t="s">
        <v>425</v>
      </c>
      <c r="Y138" s="88" t="s">
        <v>339</v>
      </c>
      <c r="Z138" s="88" t="s">
        <v>130</v>
      </c>
      <c r="AA138" s="95"/>
      <c r="AB138" s="88" t="s">
        <v>1423</v>
      </c>
      <c r="AC138" s="88" t="s">
        <v>1424</v>
      </c>
      <c r="AD138" s="88" t="s">
        <v>342</v>
      </c>
      <c r="AE138" s="88" t="s">
        <v>359</v>
      </c>
      <c r="AF138" s="88" t="s">
        <v>130</v>
      </c>
      <c r="AG138" s="88" t="s">
        <v>1425</v>
      </c>
      <c r="AH138" s="88" t="s">
        <v>1426</v>
      </c>
      <c r="AI138" s="88" t="s">
        <v>346</v>
      </c>
      <c r="AJ138" s="95"/>
      <c r="AK138" s="88" t="s">
        <v>339</v>
      </c>
      <c r="AL138" s="88" t="s">
        <v>339</v>
      </c>
      <c r="AM138" s="95"/>
      <c r="AN138" s="96" t="s">
        <v>1427</v>
      </c>
      <c r="AO138" s="84"/>
    </row>
    <row r="139" spans="1:41" s="85" customFormat="1" x14ac:dyDescent="0.25">
      <c r="A139" s="88" t="s">
        <v>281</v>
      </c>
      <c r="B139" s="88" t="s">
        <v>1428</v>
      </c>
      <c r="C139" s="88" t="s">
        <v>30</v>
      </c>
      <c r="D139" s="88" t="s">
        <v>248</v>
      </c>
      <c r="E139" s="88" t="s">
        <v>351</v>
      </c>
      <c r="F139" s="88" t="s">
        <v>387</v>
      </c>
      <c r="G139" s="88">
        <v>2012</v>
      </c>
      <c r="H139" s="88" t="s">
        <v>333</v>
      </c>
      <c r="I139" s="88" t="s">
        <v>353</v>
      </c>
      <c r="J139" s="88" t="s">
        <v>335</v>
      </c>
      <c r="K139" s="92" t="s">
        <v>1428</v>
      </c>
      <c r="L139" s="93"/>
      <c r="M139" s="94" t="s">
        <v>2248</v>
      </c>
      <c r="N139" s="88" t="s">
        <v>79</v>
      </c>
      <c r="O139" s="88" t="s">
        <v>336</v>
      </c>
      <c r="P139" s="88" t="s">
        <v>87</v>
      </c>
      <c r="Q139" s="88" t="s">
        <v>76</v>
      </c>
      <c r="R139" s="88" t="s">
        <v>138</v>
      </c>
      <c r="S139" s="88" t="s">
        <v>331</v>
      </c>
      <c r="T139" s="88" t="s">
        <v>331</v>
      </c>
      <c r="U139" s="88" t="s">
        <v>130</v>
      </c>
      <c r="V139" s="88" t="s">
        <v>339</v>
      </c>
      <c r="W139" s="88" t="s">
        <v>339</v>
      </c>
      <c r="X139" s="88" t="s">
        <v>130</v>
      </c>
      <c r="Y139" s="88" t="s">
        <v>339</v>
      </c>
      <c r="Z139" s="88" t="s">
        <v>130</v>
      </c>
      <c r="AA139" s="95"/>
      <c r="AB139" s="88" t="s">
        <v>1429</v>
      </c>
      <c r="AC139" s="88" t="s">
        <v>1430</v>
      </c>
      <c r="AD139" s="88" t="s">
        <v>342</v>
      </c>
      <c r="AE139" s="88" t="s">
        <v>394</v>
      </c>
      <c r="AF139" s="88" t="s">
        <v>130</v>
      </c>
      <c r="AG139" s="88" t="s">
        <v>361</v>
      </c>
      <c r="AH139" s="88" t="s">
        <v>375</v>
      </c>
      <c r="AI139" s="88" t="s">
        <v>346</v>
      </c>
      <c r="AJ139" s="95"/>
      <c r="AK139" s="88" t="s">
        <v>1431</v>
      </c>
      <c r="AL139" s="88" t="s">
        <v>1432</v>
      </c>
      <c r="AM139" s="95"/>
      <c r="AN139" s="96" t="s">
        <v>1433</v>
      </c>
      <c r="AO139" s="84"/>
    </row>
    <row r="140" spans="1:41" s="85" customFormat="1" ht="12" customHeight="1" x14ac:dyDescent="0.25">
      <c r="A140" s="88" t="s">
        <v>281</v>
      </c>
      <c r="B140" s="88" t="s">
        <v>1434</v>
      </c>
      <c r="C140" s="88" t="s">
        <v>30</v>
      </c>
      <c r="D140" s="88" t="s">
        <v>248</v>
      </c>
      <c r="E140" s="88" t="s">
        <v>351</v>
      </c>
      <c r="F140" s="88" t="s">
        <v>387</v>
      </c>
      <c r="G140" s="88">
        <v>2016</v>
      </c>
      <c r="H140" s="88">
        <v>2021</v>
      </c>
      <c r="I140" s="88" t="s">
        <v>1435</v>
      </c>
      <c r="J140" s="88" t="s">
        <v>335</v>
      </c>
      <c r="K140" s="92" t="s">
        <v>1435</v>
      </c>
      <c r="L140" s="93"/>
      <c r="M140" s="94" t="s">
        <v>2252</v>
      </c>
      <c r="N140" s="88" t="s">
        <v>629</v>
      </c>
      <c r="O140" s="88" t="s">
        <v>1436</v>
      </c>
      <c r="P140" s="88" t="s">
        <v>134</v>
      </c>
      <c r="Q140" s="88" t="s">
        <v>139</v>
      </c>
      <c r="R140" s="88" t="s">
        <v>138</v>
      </c>
      <c r="S140" s="116" t="s">
        <v>2260</v>
      </c>
      <c r="T140" s="88" t="s">
        <v>331</v>
      </c>
      <c r="U140" s="88" t="s">
        <v>130</v>
      </c>
      <c r="V140" s="88" t="s">
        <v>331</v>
      </c>
      <c r="W140" s="88" t="s">
        <v>351</v>
      </c>
      <c r="X140" s="88" t="s">
        <v>490</v>
      </c>
      <c r="Y140" s="88" t="s">
        <v>351</v>
      </c>
      <c r="Z140" s="88" t="s">
        <v>512</v>
      </c>
      <c r="AA140" s="95"/>
      <c r="AB140" s="88" t="s">
        <v>1437</v>
      </c>
      <c r="AC140" s="88" t="s">
        <v>1438</v>
      </c>
      <c r="AD140" s="88" t="s">
        <v>342</v>
      </c>
      <c r="AE140" s="88" t="s">
        <v>359</v>
      </c>
      <c r="AF140" s="88" t="s">
        <v>677</v>
      </c>
      <c r="AG140" s="88" t="s">
        <v>1439</v>
      </c>
      <c r="AH140" s="88" t="s">
        <v>375</v>
      </c>
      <c r="AI140" s="88" t="s">
        <v>346</v>
      </c>
      <c r="AJ140" s="95"/>
      <c r="AK140" s="88" t="s">
        <v>339</v>
      </c>
      <c r="AL140" s="88" t="s">
        <v>339</v>
      </c>
      <c r="AM140" s="95"/>
      <c r="AN140" s="96" t="s">
        <v>1440</v>
      </c>
      <c r="AO140" s="84"/>
    </row>
    <row r="141" spans="1:41" s="85" customFormat="1" x14ac:dyDescent="0.25">
      <c r="A141" s="88" t="s">
        <v>281</v>
      </c>
      <c r="B141" s="88" t="s">
        <v>1441</v>
      </c>
      <c r="C141" s="88" t="s">
        <v>30</v>
      </c>
      <c r="D141" s="88" t="s">
        <v>248</v>
      </c>
      <c r="E141" s="88" t="s">
        <v>351</v>
      </c>
      <c r="F141" s="88" t="s">
        <v>387</v>
      </c>
      <c r="G141" s="88">
        <v>2020</v>
      </c>
      <c r="H141" s="88" t="s">
        <v>333</v>
      </c>
      <c r="I141" s="88" t="s">
        <v>586</v>
      </c>
      <c r="J141" s="88" t="s">
        <v>335</v>
      </c>
      <c r="K141" s="92" t="s">
        <v>1418</v>
      </c>
      <c r="L141" s="93"/>
      <c r="M141" s="94" t="s">
        <v>2272</v>
      </c>
      <c r="N141" s="88" t="s">
        <v>73</v>
      </c>
      <c r="O141" s="88" t="s">
        <v>336</v>
      </c>
      <c r="P141" s="88" t="s">
        <v>117</v>
      </c>
      <c r="Q141" s="88" t="s">
        <v>139</v>
      </c>
      <c r="R141" s="88" t="s">
        <v>138</v>
      </c>
      <c r="S141" s="88" t="s">
        <v>331</v>
      </c>
      <c r="T141" s="88" t="s">
        <v>351</v>
      </c>
      <c r="U141" s="88" t="s">
        <v>90</v>
      </c>
      <c r="V141" s="88" t="s">
        <v>331</v>
      </c>
      <c r="W141" s="88" t="s">
        <v>356</v>
      </c>
      <c r="X141" s="88" t="s">
        <v>130</v>
      </c>
      <c r="Y141" s="88" t="s">
        <v>339</v>
      </c>
      <c r="Z141" s="88" t="s">
        <v>130</v>
      </c>
      <c r="AA141" s="95"/>
      <c r="AB141" s="88" t="s">
        <v>1442</v>
      </c>
      <c r="AC141" s="88" t="s">
        <v>1443</v>
      </c>
      <c r="AD141" s="88" t="s">
        <v>596</v>
      </c>
      <c r="AE141" s="88" t="s">
        <v>359</v>
      </c>
      <c r="AF141" s="88" t="s">
        <v>130</v>
      </c>
      <c r="AG141" s="88" t="s">
        <v>361</v>
      </c>
      <c r="AH141" s="88" t="s">
        <v>375</v>
      </c>
      <c r="AI141" s="88" t="s">
        <v>346</v>
      </c>
      <c r="AJ141" s="95"/>
      <c r="AK141" s="88" t="s">
        <v>339</v>
      </c>
      <c r="AL141" s="88" t="s">
        <v>339</v>
      </c>
      <c r="AM141" s="95"/>
      <c r="AN141" s="96" t="s">
        <v>1444</v>
      </c>
      <c r="AO141" s="84"/>
    </row>
    <row r="142" spans="1:41" s="85" customFormat="1" x14ac:dyDescent="0.25">
      <c r="A142" s="88" t="s">
        <v>281</v>
      </c>
      <c r="B142" s="88" t="s">
        <v>1445</v>
      </c>
      <c r="C142" s="88" t="s">
        <v>30</v>
      </c>
      <c r="D142" s="88" t="s">
        <v>248</v>
      </c>
      <c r="E142" s="88" t="s">
        <v>351</v>
      </c>
      <c r="F142" s="88" t="s">
        <v>387</v>
      </c>
      <c r="G142" s="88">
        <v>2020</v>
      </c>
      <c r="H142" s="88" t="s">
        <v>333</v>
      </c>
      <c r="I142" s="88" t="s">
        <v>586</v>
      </c>
      <c r="J142" s="88" t="s">
        <v>335</v>
      </c>
      <c r="K142" s="92" t="s">
        <v>1446</v>
      </c>
      <c r="L142" s="93"/>
      <c r="M142" s="94" t="s">
        <v>2272</v>
      </c>
      <c r="N142" s="88" t="s">
        <v>73</v>
      </c>
      <c r="O142" s="88" t="s">
        <v>336</v>
      </c>
      <c r="P142" s="88" t="s">
        <v>117</v>
      </c>
      <c r="Q142" s="88" t="s">
        <v>76</v>
      </c>
      <c r="R142" s="88" t="s">
        <v>138</v>
      </c>
      <c r="S142" s="88" t="s">
        <v>1446</v>
      </c>
      <c r="T142" s="88" t="s">
        <v>351</v>
      </c>
      <c r="U142" s="88" t="s">
        <v>90</v>
      </c>
      <c r="V142" s="88" t="s">
        <v>331</v>
      </c>
      <c r="W142" s="88" t="s">
        <v>356</v>
      </c>
      <c r="X142" s="88" t="s">
        <v>130</v>
      </c>
      <c r="Y142" s="88" t="s">
        <v>339</v>
      </c>
      <c r="Z142" s="88" t="s">
        <v>130</v>
      </c>
      <c r="AA142" s="95"/>
      <c r="AB142" s="88" t="s">
        <v>1442</v>
      </c>
      <c r="AC142" s="97" t="s">
        <v>1447</v>
      </c>
      <c r="AD142" s="88" t="s">
        <v>596</v>
      </c>
      <c r="AE142" s="88" t="s">
        <v>359</v>
      </c>
      <c r="AF142" s="88" t="s">
        <v>130</v>
      </c>
      <c r="AG142" s="88" t="s">
        <v>361</v>
      </c>
      <c r="AH142" s="88" t="s">
        <v>375</v>
      </c>
      <c r="AI142" s="88" t="s">
        <v>346</v>
      </c>
      <c r="AJ142" s="95"/>
      <c r="AK142" s="88" t="s">
        <v>339</v>
      </c>
      <c r="AL142" s="88" t="s">
        <v>339</v>
      </c>
      <c r="AM142" s="95"/>
      <c r="AN142" s="96" t="s">
        <v>1444</v>
      </c>
      <c r="AO142" s="84"/>
    </row>
    <row r="143" spans="1:41" s="85" customFormat="1" x14ac:dyDescent="0.25">
      <c r="A143" s="88" t="s">
        <v>281</v>
      </c>
      <c r="B143" s="88" t="s">
        <v>1448</v>
      </c>
      <c r="C143" s="88" t="s">
        <v>30</v>
      </c>
      <c r="D143" s="88" t="s">
        <v>248</v>
      </c>
      <c r="E143" s="88" t="s">
        <v>351</v>
      </c>
      <c r="F143" s="88" t="s">
        <v>399</v>
      </c>
      <c r="G143" s="88" t="s">
        <v>416</v>
      </c>
      <c r="H143" s="88">
        <v>2018</v>
      </c>
      <c r="I143" s="88" t="s">
        <v>1449</v>
      </c>
      <c r="J143" s="88" t="s">
        <v>335</v>
      </c>
      <c r="K143" s="92" t="s">
        <v>1449</v>
      </c>
      <c r="L143" s="93"/>
      <c r="M143" s="94" t="s">
        <v>2272</v>
      </c>
      <c r="N143" s="88" t="s">
        <v>85</v>
      </c>
      <c r="O143" s="88" t="s">
        <v>336</v>
      </c>
      <c r="P143" s="88" t="s">
        <v>134</v>
      </c>
      <c r="Q143" s="88" t="s">
        <v>1450</v>
      </c>
      <c r="R143" s="88" t="s">
        <v>138</v>
      </c>
      <c r="S143" s="88" t="s">
        <v>331</v>
      </c>
      <c r="T143" s="88" t="s">
        <v>331</v>
      </c>
      <c r="U143" s="88" t="s">
        <v>130</v>
      </c>
      <c r="V143" s="88" t="s">
        <v>339</v>
      </c>
      <c r="W143" s="88" t="s">
        <v>339</v>
      </c>
      <c r="X143" s="88" t="s">
        <v>130</v>
      </c>
      <c r="Y143" s="88" t="s">
        <v>339</v>
      </c>
      <c r="Z143" s="88" t="s">
        <v>130</v>
      </c>
      <c r="AA143" s="95"/>
      <c r="AB143" s="88" t="s">
        <v>1451</v>
      </c>
      <c r="AC143" s="97" t="s">
        <v>1452</v>
      </c>
      <c r="AD143" s="88" t="s">
        <v>596</v>
      </c>
      <c r="AE143" s="88" t="s">
        <v>394</v>
      </c>
      <c r="AF143" s="88" t="s">
        <v>130</v>
      </c>
      <c r="AG143" s="88" t="s">
        <v>361</v>
      </c>
      <c r="AH143" s="88" t="s">
        <v>375</v>
      </c>
      <c r="AI143" s="88" t="s">
        <v>346</v>
      </c>
      <c r="AJ143" s="95"/>
      <c r="AK143" s="88" t="s">
        <v>1453</v>
      </c>
      <c r="AL143" s="88" t="s">
        <v>339</v>
      </c>
      <c r="AM143" s="95"/>
      <c r="AN143" s="96" t="s">
        <v>1454</v>
      </c>
      <c r="AO143" s="84"/>
    </row>
    <row r="144" spans="1:41" s="85" customFormat="1" x14ac:dyDescent="0.25">
      <c r="A144" s="88" t="s">
        <v>281</v>
      </c>
      <c r="B144" s="88" t="s">
        <v>1446</v>
      </c>
      <c r="C144" s="88" t="s">
        <v>30</v>
      </c>
      <c r="D144" s="88" t="s">
        <v>248</v>
      </c>
      <c r="E144" s="88" t="s">
        <v>351</v>
      </c>
      <c r="F144" s="88" t="s">
        <v>387</v>
      </c>
      <c r="G144" s="88">
        <v>1991</v>
      </c>
      <c r="H144" s="88" t="s">
        <v>333</v>
      </c>
      <c r="I144" s="88" t="s">
        <v>353</v>
      </c>
      <c r="J144" s="88" t="s">
        <v>335</v>
      </c>
      <c r="K144" s="92" t="s">
        <v>1446</v>
      </c>
      <c r="L144" s="93"/>
      <c r="M144" s="94" t="s">
        <v>2248</v>
      </c>
      <c r="N144" s="88" t="s">
        <v>79</v>
      </c>
      <c r="O144" s="88" t="s">
        <v>336</v>
      </c>
      <c r="P144" s="88" t="s">
        <v>93</v>
      </c>
      <c r="Q144" s="88" t="s">
        <v>76</v>
      </c>
      <c r="R144" s="88" t="s">
        <v>138</v>
      </c>
      <c r="S144" s="88" t="s">
        <v>331</v>
      </c>
      <c r="T144" s="88" t="s">
        <v>331</v>
      </c>
      <c r="U144" s="88" t="s">
        <v>130</v>
      </c>
      <c r="V144" s="88" t="s">
        <v>339</v>
      </c>
      <c r="W144" s="88" t="s">
        <v>339</v>
      </c>
      <c r="X144" s="88" t="s">
        <v>130</v>
      </c>
      <c r="Y144" s="88" t="s">
        <v>339</v>
      </c>
      <c r="Z144" s="88" t="s">
        <v>130</v>
      </c>
      <c r="AA144" s="95"/>
      <c r="AB144" s="88" t="s">
        <v>1455</v>
      </c>
      <c r="AC144" s="97" t="s">
        <v>1456</v>
      </c>
      <c r="AD144" s="88" t="s">
        <v>596</v>
      </c>
      <c r="AE144" s="88" t="s">
        <v>359</v>
      </c>
      <c r="AF144" s="88" t="s">
        <v>1445</v>
      </c>
      <c r="AG144" s="88" t="s">
        <v>361</v>
      </c>
      <c r="AH144" s="88" t="s">
        <v>1457</v>
      </c>
      <c r="AI144" s="88" t="s">
        <v>346</v>
      </c>
      <c r="AJ144" s="95"/>
      <c r="AK144" s="88" t="s">
        <v>339</v>
      </c>
      <c r="AL144" s="88" t="s">
        <v>339</v>
      </c>
      <c r="AM144" s="95"/>
      <c r="AN144" s="96" t="s">
        <v>1458</v>
      </c>
      <c r="AO144" s="84"/>
    </row>
    <row r="145" spans="1:41" s="85" customFormat="1" x14ac:dyDescent="0.25">
      <c r="A145" s="88" t="s">
        <v>281</v>
      </c>
      <c r="B145" s="88" t="s">
        <v>982</v>
      </c>
      <c r="C145" s="88" t="s">
        <v>30</v>
      </c>
      <c r="D145" s="88" t="s">
        <v>248</v>
      </c>
      <c r="E145" s="88" t="s">
        <v>351</v>
      </c>
      <c r="F145" s="88" t="s">
        <v>399</v>
      </c>
      <c r="G145" s="88">
        <v>2020</v>
      </c>
      <c r="H145" s="88" t="s">
        <v>333</v>
      </c>
      <c r="I145" s="88" t="s">
        <v>1459</v>
      </c>
      <c r="J145" s="88" t="s">
        <v>335</v>
      </c>
      <c r="K145" s="92" t="s">
        <v>1460</v>
      </c>
      <c r="L145" s="93"/>
      <c r="M145" s="119" t="s">
        <v>2272</v>
      </c>
      <c r="N145" s="88" t="s">
        <v>73</v>
      </c>
      <c r="O145" s="88" t="s">
        <v>336</v>
      </c>
      <c r="P145" s="88" t="s">
        <v>134</v>
      </c>
      <c r="Q145" s="88" t="s">
        <v>139</v>
      </c>
      <c r="R145" s="88" t="s">
        <v>138</v>
      </c>
      <c r="S145" s="88" t="s">
        <v>1409</v>
      </c>
      <c r="T145" s="88" t="s">
        <v>351</v>
      </c>
      <c r="U145" s="88" t="s">
        <v>90</v>
      </c>
      <c r="V145" s="88" t="s">
        <v>331</v>
      </c>
      <c r="W145" s="88" t="s">
        <v>351</v>
      </c>
      <c r="X145" s="88" t="s">
        <v>425</v>
      </c>
      <c r="Y145" s="88" t="s">
        <v>339</v>
      </c>
      <c r="Z145" s="88" t="s">
        <v>339</v>
      </c>
      <c r="AA145" s="95"/>
      <c r="AB145" s="88" t="s">
        <v>1461</v>
      </c>
      <c r="AC145" s="88" t="s">
        <v>1462</v>
      </c>
      <c r="AD145" s="88" t="s">
        <v>529</v>
      </c>
      <c r="AE145" s="88" t="s">
        <v>359</v>
      </c>
      <c r="AF145" s="88" t="s">
        <v>130</v>
      </c>
      <c r="AG145" s="103" t="s">
        <v>1463</v>
      </c>
      <c r="AH145" s="88" t="s">
        <v>375</v>
      </c>
      <c r="AI145" s="88" t="s">
        <v>346</v>
      </c>
      <c r="AJ145" s="95"/>
      <c r="AK145" s="88" t="s">
        <v>339</v>
      </c>
      <c r="AL145" s="88" t="s">
        <v>339</v>
      </c>
      <c r="AM145" s="95"/>
      <c r="AN145" s="96" t="s">
        <v>1464</v>
      </c>
      <c r="AO145" s="84"/>
    </row>
    <row r="146" spans="1:41" s="85" customFormat="1" x14ac:dyDescent="0.25">
      <c r="A146" s="88" t="s">
        <v>282</v>
      </c>
      <c r="B146" s="88" t="s">
        <v>1465</v>
      </c>
      <c r="C146" s="88" t="s">
        <v>197</v>
      </c>
      <c r="D146" s="88" t="s">
        <v>250</v>
      </c>
      <c r="E146" s="88" t="s">
        <v>351</v>
      </c>
      <c r="F146" s="88" t="s">
        <v>406</v>
      </c>
      <c r="G146" s="88">
        <v>2016</v>
      </c>
      <c r="H146" s="88">
        <v>2020</v>
      </c>
      <c r="I146" s="88" t="s">
        <v>1466</v>
      </c>
      <c r="J146" s="88" t="s">
        <v>351</v>
      </c>
      <c r="K146" s="92" t="s">
        <v>1467</v>
      </c>
      <c r="L146" s="93"/>
      <c r="M146" s="94" t="s">
        <v>2272</v>
      </c>
      <c r="N146" s="88" t="s">
        <v>810</v>
      </c>
      <c r="O146" s="88" t="s">
        <v>98</v>
      </c>
      <c r="P146" s="88" t="s">
        <v>123</v>
      </c>
      <c r="Q146" s="88" t="s">
        <v>139</v>
      </c>
      <c r="R146" s="88" t="s">
        <v>138</v>
      </c>
      <c r="S146" s="88" t="s">
        <v>331</v>
      </c>
      <c r="T146" s="88" t="s">
        <v>331</v>
      </c>
      <c r="U146" s="88" t="s">
        <v>130</v>
      </c>
      <c r="V146" s="88" t="s">
        <v>339</v>
      </c>
      <c r="W146" s="88" t="s">
        <v>339</v>
      </c>
      <c r="X146" s="88" t="s">
        <v>130</v>
      </c>
      <c r="Y146" s="88" t="s">
        <v>339</v>
      </c>
      <c r="Z146" s="88" t="s">
        <v>339</v>
      </c>
      <c r="AA146" s="95"/>
      <c r="AB146" s="88" t="s">
        <v>1468</v>
      </c>
      <c r="AC146" s="88" t="s">
        <v>1469</v>
      </c>
      <c r="AD146" s="88" t="s">
        <v>342</v>
      </c>
      <c r="AE146" s="88" t="s">
        <v>359</v>
      </c>
      <c r="AF146" s="88" t="s">
        <v>130</v>
      </c>
      <c r="AG146" s="88" t="s">
        <v>361</v>
      </c>
      <c r="AH146" s="88" t="s">
        <v>375</v>
      </c>
      <c r="AI146" s="88" t="s">
        <v>346</v>
      </c>
      <c r="AJ146" s="95"/>
      <c r="AK146" s="88" t="s">
        <v>339</v>
      </c>
      <c r="AL146" s="88" t="s">
        <v>339</v>
      </c>
      <c r="AM146" s="95"/>
      <c r="AN146" s="96" t="s">
        <v>1470</v>
      </c>
      <c r="AO146" s="84"/>
    </row>
    <row r="147" spans="1:41" s="85" customFormat="1" x14ac:dyDescent="0.25">
      <c r="A147" s="88" t="s">
        <v>282</v>
      </c>
      <c r="B147" s="88" t="s">
        <v>1471</v>
      </c>
      <c r="C147" s="88" t="s">
        <v>197</v>
      </c>
      <c r="D147" s="88" t="s">
        <v>250</v>
      </c>
      <c r="E147" s="88" t="s">
        <v>351</v>
      </c>
      <c r="F147" s="88" t="s">
        <v>406</v>
      </c>
      <c r="G147" s="88">
        <v>2019</v>
      </c>
      <c r="H147" s="88">
        <v>2023</v>
      </c>
      <c r="I147" s="88" t="s">
        <v>1472</v>
      </c>
      <c r="J147" s="88" t="s">
        <v>351</v>
      </c>
      <c r="K147" s="92" t="s">
        <v>1467</v>
      </c>
      <c r="L147" s="93"/>
      <c r="M147" s="94" t="s">
        <v>2272</v>
      </c>
      <c r="N147" s="88" t="s">
        <v>810</v>
      </c>
      <c r="O147" s="88" t="s">
        <v>98</v>
      </c>
      <c r="P147" s="88" t="s">
        <v>123</v>
      </c>
      <c r="Q147" s="88" t="s">
        <v>139</v>
      </c>
      <c r="R147" s="88" t="s">
        <v>138</v>
      </c>
      <c r="S147" s="88" t="s">
        <v>331</v>
      </c>
      <c r="T147" s="88" t="s">
        <v>331</v>
      </c>
      <c r="U147" s="88" t="s">
        <v>130</v>
      </c>
      <c r="V147" s="88" t="s">
        <v>339</v>
      </c>
      <c r="W147" s="88" t="s">
        <v>339</v>
      </c>
      <c r="X147" s="88" t="s">
        <v>130</v>
      </c>
      <c r="Y147" s="88" t="s">
        <v>339</v>
      </c>
      <c r="Z147" s="88" t="s">
        <v>339</v>
      </c>
      <c r="AA147" s="95"/>
      <c r="AB147" s="88" t="s">
        <v>1473</v>
      </c>
      <c r="AC147" s="97" t="s">
        <v>1474</v>
      </c>
      <c r="AD147" s="88" t="s">
        <v>342</v>
      </c>
      <c r="AE147" s="88" t="s">
        <v>359</v>
      </c>
      <c r="AF147" s="88" t="s">
        <v>130</v>
      </c>
      <c r="AG147" s="88" t="s">
        <v>361</v>
      </c>
      <c r="AH147" s="88" t="s">
        <v>375</v>
      </c>
      <c r="AI147" s="88" t="s">
        <v>346</v>
      </c>
      <c r="AJ147" s="95"/>
      <c r="AK147" s="88" t="s">
        <v>529</v>
      </c>
      <c r="AL147" s="88" t="s">
        <v>339</v>
      </c>
      <c r="AM147" s="95"/>
      <c r="AN147" s="96" t="s">
        <v>1475</v>
      </c>
      <c r="AO147" s="84"/>
    </row>
    <row r="148" spans="1:41" s="85" customFormat="1" x14ac:dyDescent="0.25">
      <c r="A148" s="88" t="s">
        <v>282</v>
      </c>
      <c r="B148" s="88" t="s">
        <v>1476</v>
      </c>
      <c r="C148" s="88" t="s">
        <v>197</v>
      </c>
      <c r="D148" s="88" t="s">
        <v>250</v>
      </c>
      <c r="E148" s="88" t="s">
        <v>351</v>
      </c>
      <c r="F148" s="88" t="s">
        <v>399</v>
      </c>
      <c r="G148" s="88" t="s">
        <v>416</v>
      </c>
      <c r="H148" s="88" t="s">
        <v>333</v>
      </c>
      <c r="I148" s="88" t="s">
        <v>353</v>
      </c>
      <c r="J148" s="88" t="s">
        <v>335</v>
      </c>
      <c r="K148" s="92" t="s">
        <v>407</v>
      </c>
      <c r="L148" s="93"/>
      <c r="M148" s="94" t="s">
        <v>2272</v>
      </c>
      <c r="N148" s="88" t="s">
        <v>476</v>
      </c>
      <c r="O148" s="88" t="s">
        <v>98</v>
      </c>
      <c r="P148" s="88" t="s">
        <v>353</v>
      </c>
      <c r="Q148" s="88" t="s">
        <v>139</v>
      </c>
      <c r="R148" s="88" t="s">
        <v>138</v>
      </c>
      <c r="S148" s="88" t="s">
        <v>331</v>
      </c>
      <c r="T148" s="88" t="s">
        <v>331</v>
      </c>
      <c r="U148" s="88" t="s">
        <v>130</v>
      </c>
      <c r="V148" s="88" t="s">
        <v>339</v>
      </c>
      <c r="W148" s="88" t="s">
        <v>339</v>
      </c>
      <c r="X148" s="88" t="s">
        <v>130</v>
      </c>
      <c r="Y148" s="88" t="s">
        <v>339</v>
      </c>
      <c r="Z148" s="88" t="s">
        <v>339</v>
      </c>
      <c r="AA148" s="95"/>
      <c r="AB148" s="88" t="s">
        <v>1477</v>
      </c>
      <c r="AC148" s="97" t="s">
        <v>1478</v>
      </c>
      <c r="AD148" s="88" t="s">
        <v>342</v>
      </c>
      <c r="AE148" s="88" t="s">
        <v>359</v>
      </c>
      <c r="AF148" s="88" t="s">
        <v>130</v>
      </c>
      <c r="AG148" s="88" t="s">
        <v>361</v>
      </c>
      <c r="AH148" s="88" t="s">
        <v>375</v>
      </c>
      <c r="AI148" s="88" t="s">
        <v>346</v>
      </c>
      <c r="AJ148" s="95"/>
      <c r="AK148" s="88" t="s">
        <v>339</v>
      </c>
      <c r="AL148" s="88" t="s">
        <v>339</v>
      </c>
      <c r="AM148" s="95"/>
      <c r="AN148" s="96" t="s">
        <v>1479</v>
      </c>
      <c r="AO148" s="84"/>
    </row>
    <row r="149" spans="1:41" s="85" customFormat="1" x14ac:dyDescent="0.25">
      <c r="A149" s="88" t="s">
        <v>283</v>
      </c>
      <c r="B149" s="88" t="s">
        <v>1480</v>
      </c>
      <c r="C149" s="88" t="s">
        <v>197</v>
      </c>
      <c r="D149" s="88" t="s">
        <v>43</v>
      </c>
      <c r="E149" s="88" t="s">
        <v>351</v>
      </c>
      <c r="F149" s="88" t="s">
        <v>332</v>
      </c>
      <c r="G149" s="106" t="s">
        <v>1481</v>
      </c>
      <c r="H149" s="88" t="s">
        <v>333</v>
      </c>
      <c r="I149" s="88" t="s">
        <v>1482</v>
      </c>
      <c r="J149" s="88" t="s">
        <v>335</v>
      </c>
      <c r="K149" s="92" t="s">
        <v>1483</v>
      </c>
      <c r="L149" s="93"/>
      <c r="M149" s="94" t="s">
        <v>2272</v>
      </c>
      <c r="N149" s="88" t="s">
        <v>460</v>
      </c>
      <c r="O149" s="88" t="s">
        <v>1484</v>
      </c>
      <c r="P149" s="88" t="s">
        <v>1485</v>
      </c>
      <c r="Q149" s="88" t="s">
        <v>1486</v>
      </c>
      <c r="R149" s="88" t="s">
        <v>1487</v>
      </c>
      <c r="S149" s="88" t="s">
        <v>1488</v>
      </c>
      <c r="T149" s="88" t="s">
        <v>331</v>
      </c>
      <c r="U149" s="88" t="s">
        <v>130</v>
      </c>
      <c r="V149" s="88" t="s">
        <v>331</v>
      </c>
      <c r="W149" s="88" t="s">
        <v>351</v>
      </c>
      <c r="X149" s="88" t="s">
        <v>1489</v>
      </c>
      <c r="Y149" s="88" t="s">
        <v>351</v>
      </c>
      <c r="Z149" s="88" t="s">
        <v>512</v>
      </c>
      <c r="AA149" s="95"/>
      <c r="AB149" s="88" t="s">
        <v>1490</v>
      </c>
      <c r="AC149" s="88" t="s">
        <v>1491</v>
      </c>
      <c r="AD149" s="88" t="s">
        <v>1492</v>
      </c>
      <c r="AE149" s="88" t="s">
        <v>359</v>
      </c>
      <c r="AF149" s="88" t="s">
        <v>130</v>
      </c>
      <c r="AG149" s="88" t="s">
        <v>1493</v>
      </c>
      <c r="AH149" s="88" t="s">
        <v>375</v>
      </c>
      <c r="AI149" s="88" t="s">
        <v>346</v>
      </c>
      <c r="AJ149" s="95"/>
      <c r="AK149" s="88" t="s">
        <v>339</v>
      </c>
      <c r="AL149" s="88" t="s">
        <v>1494</v>
      </c>
      <c r="AM149" s="95"/>
      <c r="AN149" s="96" t="s">
        <v>1495</v>
      </c>
      <c r="AO149" s="84"/>
    </row>
    <row r="150" spans="1:41" s="85" customFormat="1" x14ac:dyDescent="0.25">
      <c r="A150" s="88" t="s">
        <v>283</v>
      </c>
      <c r="B150" s="88" t="s">
        <v>1496</v>
      </c>
      <c r="C150" s="88" t="s">
        <v>197</v>
      </c>
      <c r="D150" s="88" t="s">
        <v>43</v>
      </c>
      <c r="E150" s="88" t="s">
        <v>351</v>
      </c>
      <c r="F150" s="88" t="s">
        <v>332</v>
      </c>
      <c r="G150" s="88">
        <v>2001</v>
      </c>
      <c r="H150" s="88">
        <v>2008</v>
      </c>
      <c r="I150" s="88" t="s">
        <v>1482</v>
      </c>
      <c r="J150" s="88" t="s">
        <v>335</v>
      </c>
      <c r="K150" s="92" t="s">
        <v>1497</v>
      </c>
      <c r="L150" s="93"/>
      <c r="M150" s="94" t="s">
        <v>2272</v>
      </c>
      <c r="N150" s="88" t="s">
        <v>1498</v>
      </c>
      <c r="O150" s="88" t="s">
        <v>98</v>
      </c>
      <c r="P150" s="88" t="s">
        <v>134</v>
      </c>
      <c r="Q150" s="88" t="s">
        <v>139</v>
      </c>
      <c r="R150" s="88" t="s">
        <v>77</v>
      </c>
      <c r="S150" s="88" t="s">
        <v>331</v>
      </c>
      <c r="T150" s="88" t="s">
        <v>331</v>
      </c>
      <c r="U150" s="88" t="s">
        <v>130</v>
      </c>
      <c r="V150" s="88" t="s">
        <v>331</v>
      </c>
      <c r="W150" s="88" t="s">
        <v>351</v>
      </c>
      <c r="X150" s="88" t="s">
        <v>1499</v>
      </c>
      <c r="Y150" s="88" t="s">
        <v>339</v>
      </c>
      <c r="Z150" s="88" t="s">
        <v>512</v>
      </c>
      <c r="AA150" s="95"/>
      <c r="AB150" s="88" t="s">
        <v>1500</v>
      </c>
      <c r="AC150" s="88" t="s">
        <v>1501</v>
      </c>
      <c r="AD150" s="88" t="s">
        <v>342</v>
      </c>
      <c r="AE150" s="88" t="s">
        <v>343</v>
      </c>
      <c r="AF150" s="88" t="s">
        <v>130</v>
      </c>
      <c r="AG150" s="88" t="s">
        <v>1502</v>
      </c>
      <c r="AH150" s="88" t="s">
        <v>375</v>
      </c>
      <c r="AI150" s="88" t="s">
        <v>346</v>
      </c>
      <c r="AJ150" s="95"/>
      <c r="AK150" s="88" t="s">
        <v>1503</v>
      </c>
      <c r="AL150" s="88" t="s">
        <v>339</v>
      </c>
      <c r="AM150" s="95"/>
      <c r="AN150" s="96" t="s">
        <v>1504</v>
      </c>
      <c r="AO150" s="84"/>
    </row>
    <row r="151" spans="1:41" s="85" customFormat="1" x14ac:dyDescent="0.25">
      <c r="A151" s="88" t="s">
        <v>283</v>
      </c>
      <c r="B151" s="88" t="s">
        <v>1505</v>
      </c>
      <c r="C151" s="88" t="s">
        <v>197</v>
      </c>
      <c r="D151" s="88" t="s">
        <v>43</v>
      </c>
      <c r="E151" s="88" t="s">
        <v>351</v>
      </c>
      <c r="F151" s="88" t="s">
        <v>332</v>
      </c>
      <c r="G151" s="106" t="s">
        <v>908</v>
      </c>
      <c r="H151" s="88" t="s">
        <v>333</v>
      </c>
      <c r="I151" s="88" t="s">
        <v>1506</v>
      </c>
      <c r="J151" s="88" t="s">
        <v>335</v>
      </c>
      <c r="K151" s="92" t="s">
        <v>1507</v>
      </c>
      <c r="L151" s="93"/>
      <c r="M151" s="94" t="s">
        <v>2270</v>
      </c>
      <c r="N151" s="88" t="s">
        <v>644</v>
      </c>
      <c r="O151" s="88" t="s">
        <v>336</v>
      </c>
      <c r="P151" s="88" t="s">
        <v>1508</v>
      </c>
      <c r="Q151" s="88" t="s">
        <v>1509</v>
      </c>
      <c r="R151" s="88" t="s">
        <v>138</v>
      </c>
      <c r="S151" s="88" t="s">
        <v>2261</v>
      </c>
      <c r="T151" s="88" t="s">
        <v>351</v>
      </c>
      <c r="U151" s="88" t="s">
        <v>84</v>
      </c>
      <c r="V151" s="88" t="s">
        <v>351</v>
      </c>
      <c r="W151" s="88" t="s">
        <v>351</v>
      </c>
      <c r="X151" s="88" t="s">
        <v>461</v>
      </c>
      <c r="Y151" s="88" t="s">
        <v>351</v>
      </c>
      <c r="Z151" s="88" t="s">
        <v>331</v>
      </c>
      <c r="AA151" s="95"/>
      <c r="AB151" s="88" t="s">
        <v>1510</v>
      </c>
      <c r="AC151" s="88" t="s">
        <v>1511</v>
      </c>
      <c r="AD151" s="107" t="s">
        <v>1512</v>
      </c>
      <c r="AE151" s="88" t="s">
        <v>448</v>
      </c>
      <c r="AF151" s="88" t="s">
        <v>1513</v>
      </c>
      <c r="AG151" s="88" t="s">
        <v>1514</v>
      </c>
      <c r="AH151" s="88" t="s">
        <v>375</v>
      </c>
      <c r="AI151" s="88" t="s">
        <v>346</v>
      </c>
      <c r="AJ151" s="95"/>
      <c r="AK151" s="88" t="s">
        <v>1515</v>
      </c>
      <c r="AL151" s="88" t="s">
        <v>339</v>
      </c>
      <c r="AM151" s="95"/>
      <c r="AN151" s="96" t="s">
        <v>1516</v>
      </c>
      <c r="AO151" s="84"/>
    </row>
    <row r="152" spans="1:41" s="85" customFormat="1" x14ac:dyDescent="0.25">
      <c r="A152" s="88" t="s">
        <v>283</v>
      </c>
      <c r="B152" s="88" t="s">
        <v>1513</v>
      </c>
      <c r="C152" s="88" t="s">
        <v>197</v>
      </c>
      <c r="D152" s="88" t="s">
        <v>43</v>
      </c>
      <c r="E152" s="88" t="s">
        <v>351</v>
      </c>
      <c r="F152" s="88" t="s">
        <v>332</v>
      </c>
      <c r="G152" s="106" t="s">
        <v>1517</v>
      </c>
      <c r="H152" s="88" t="s">
        <v>1518</v>
      </c>
      <c r="I152" s="88" t="s">
        <v>1507</v>
      </c>
      <c r="J152" s="88" t="s">
        <v>335</v>
      </c>
      <c r="K152" s="92" t="s">
        <v>1507</v>
      </c>
      <c r="L152" s="93"/>
      <c r="M152" s="94" t="s">
        <v>2272</v>
      </c>
      <c r="N152" s="88" t="s">
        <v>115</v>
      </c>
      <c r="O152" s="88" t="s">
        <v>336</v>
      </c>
      <c r="P152" s="88" t="s">
        <v>134</v>
      </c>
      <c r="Q152" s="88" t="s">
        <v>128</v>
      </c>
      <c r="R152" s="88" t="s">
        <v>138</v>
      </c>
      <c r="S152" s="88" t="s">
        <v>2262</v>
      </c>
      <c r="T152" s="88" t="s">
        <v>351</v>
      </c>
      <c r="U152" s="88" t="s">
        <v>84</v>
      </c>
      <c r="V152" s="88" t="s">
        <v>351</v>
      </c>
      <c r="W152" s="88" t="s">
        <v>339</v>
      </c>
      <c r="X152" s="88" t="s">
        <v>130</v>
      </c>
      <c r="Y152" s="88" t="s">
        <v>351</v>
      </c>
      <c r="Z152" s="88" t="s">
        <v>339</v>
      </c>
      <c r="AA152" s="95"/>
      <c r="AB152" s="88" t="s">
        <v>1519</v>
      </c>
      <c r="AC152" s="88" t="s">
        <v>1520</v>
      </c>
      <c r="AD152" s="88" t="s">
        <v>1521</v>
      </c>
      <c r="AE152" s="88" t="s">
        <v>448</v>
      </c>
      <c r="AF152" s="88" t="s">
        <v>677</v>
      </c>
      <c r="AG152" s="88" t="s">
        <v>361</v>
      </c>
      <c r="AH152" s="88" t="s">
        <v>375</v>
      </c>
      <c r="AI152" s="88" t="s">
        <v>346</v>
      </c>
      <c r="AJ152" s="95"/>
      <c r="AK152" s="88" t="s">
        <v>339</v>
      </c>
      <c r="AL152" s="88" t="s">
        <v>339</v>
      </c>
      <c r="AM152" s="95"/>
      <c r="AN152" s="96" t="s">
        <v>1522</v>
      </c>
      <c r="AO152" s="84"/>
    </row>
    <row r="153" spans="1:41" s="85" customFormat="1" x14ac:dyDescent="0.25">
      <c r="A153" s="88" t="s">
        <v>283</v>
      </c>
      <c r="B153" s="88" t="s">
        <v>1523</v>
      </c>
      <c r="C153" s="88" t="s">
        <v>197</v>
      </c>
      <c r="D153" s="88" t="s">
        <v>43</v>
      </c>
      <c r="E153" s="88" t="s">
        <v>351</v>
      </c>
      <c r="F153" s="88" t="s">
        <v>332</v>
      </c>
      <c r="G153" s="106" t="s">
        <v>1524</v>
      </c>
      <c r="H153" s="88" t="s">
        <v>333</v>
      </c>
      <c r="I153" s="88" t="s">
        <v>1482</v>
      </c>
      <c r="J153" s="88" t="s">
        <v>335</v>
      </c>
      <c r="K153" s="92" t="s">
        <v>1525</v>
      </c>
      <c r="L153" s="93"/>
      <c r="M153" s="119" t="s">
        <v>2272</v>
      </c>
      <c r="N153" s="88" t="s">
        <v>488</v>
      </c>
      <c r="O153" s="88" t="s">
        <v>98</v>
      </c>
      <c r="P153" s="88" t="s">
        <v>134</v>
      </c>
      <c r="Q153" s="88" t="s">
        <v>1526</v>
      </c>
      <c r="R153" s="88" t="s">
        <v>1527</v>
      </c>
      <c r="S153" s="88" t="s">
        <v>130</v>
      </c>
      <c r="T153" s="88" t="s">
        <v>331</v>
      </c>
      <c r="U153" s="88" t="s">
        <v>130</v>
      </c>
      <c r="V153" s="88" t="s">
        <v>331</v>
      </c>
      <c r="W153" s="88" t="s">
        <v>351</v>
      </c>
      <c r="X153" s="88" t="s">
        <v>338</v>
      </c>
      <c r="Y153" s="88" t="s">
        <v>351</v>
      </c>
      <c r="Z153" s="88" t="s">
        <v>130</v>
      </c>
      <c r="AA153" s="95"/>
      <c r="AB153" s="88" t="s">
        <v>1528</v>
      </c>
      <c r="AC153" s="88" t="s">
        <v>1529</v>
      </c>
      <c r="AD153" s="88" t="s">
        <v>342</v>
      </c>
      <c r="AE153" s="88" t="s">
        <v>394</v>
      </c>
      <c r="AF153" s="88" t="s">
        <v>1530</v>
      </c>
      <c r="AG153" s="88" t="s">
        <v>1531</v>
      </c>
      <c r="AH153" s="88" t="s">
        <v>1532</v>
      </c>
      <c r="AI153" s="88" t="s">
        <v>346</v>
      </c>
      <c r="AJ153" s="95"/>
      <c r="AK153" s="88" t="s">
        <v>1533</v>
      </c>
      <c r="AL153" s="88" t="s">
        <v>339</v>
      </c>
      <c r="AM153" s="95"/>
      <c r="AN153" s="96" t="s">
        <v>1534</v>
      </c>
      <c r="AO153" s="84"/>
    </row>
    <row r="154" spans="1:41" s="85" customFormat="1" x14ac:dyDescent="0.25">
      <c r="A154" s="88" t="s">
        <v>283</v>
      </c>
      <c r="B154" s="88" t="s">
        <v>1535</v>
      </c>
      <c r="C154" s="88" t="s">
        <v>197</v>
      </c>
      <c r="D154" s="88" t="s">
        <v>43</v>
      </c>
      <c r="E154" s="88" t="s">
        <v>351</v>
      </c>
      <c r="F154" s="88" t="s">
        <v>332</v>
      </c>
      <c r="G154" s="88">
        <v>2010</v>
      </c>
      <c r="H154" s="88" t="s">
        <v>333</v>
      </c>
      <c r="I154" s="88" t="s">
        <v>1482</v>
      </c>
      <c r="J154" s="88" t="s">
        <v>335</v>
      </c>
      <c r="K154" s="92" t="s">
        <v>1482</v>
      </c>
      <c r="L154" s="93"/>
      <c r="M154" s="94" t="s">
        <v>2272</v>
      </c>
      <c r="N154" s="88" t="s">
        <v>73</v>
      </c>
      <c r="O154" s="88" t="s">
        <v>336</v>
      </c>
      <c r="P154" s="88" t="s">
        <v>134</v>
      </c>
      <c r="Q154" s="88" t="s">
        <v>1536</v>
      </c>
      <c r="R154" s="88" t="s">
        <v>1537</v>
      </c>
      <c r="S154" s="88" t="s">
        <v>331</v>
      </c>
      <c r="T154" s="88" t="s">
        <v>331</v>
      </c>
      <c r="U154" s="88" t="s">
        <v>130</v>
      </c>
      <c r="V154" s="88" t="s">
        <v>331</v>
      </c>
      <c r="W154" s="88" t="s">
        <v>351</v>
      </c>
      <c r="X154" s="88" t="s">
        <v>1489</v>
      </c>
      <c r="Y154" s="88" t="s">
        <v>351</v>
      </c>
      <c r="Z154" s="88" t="s">
        <v>512</v>
      </c>
      <c r="AA154" s="95"/>
      <c r="AB154" s="88" t="s">
        <v>1538</v>
      </c>
      <c r="AC154" s="88" t="s">
        <v>1539</v>
      </c>
      <c r="AD154" s="88" t="s">
        <v>342</v>
      </c>
      <c r="AE154" s="88" t="s">
        <v>394</v>
      </c>
      <c r="AF154" s="88" t="s">
        <v>130</v>
      </c>
      <c r="AG154" s="88" t="s">
        <v>1540</v>
      </c>
      <c r="AH154" s="88" t="s">
        <v>375</v>
      </c>
      <c r="AI154" s="88" t="s">
        <v>346</v>
      </c>
      <c r="AJ154" s="95"/>
      <c r="AK154" s="88" t="s">
        <v>1541</v>
      </c>
      <c r="AL154" s="88" t="s">
        <v>1542</v>
      </c>
      <c r="AM154" s="95"/>
      <c r="AN154" s="96" t="s">
        <v>1543</v>
      </c>
      <c r="AO154" s="84"/>
    </row>
    <row r="155" spans="1:41" s="85" customFormat="1" x14ac:dyDescent="0.25">
      <c r="A155" s="88" t="s">
        <v>283</v>
      </c>
      <c r="B155" s="88" t="s">
        <v>1544</v>
      </c>
      <c r="C155" s="88" t="s">
        <v>197</v>
      </c>
      <c r="D155" s="88" t="s">
        <v>43</v>
      </c>
      <c r="E155" s="88" t="s">
        <v>351</v>
      </c>
      <c r="F155" s="88" t="s">
        <v>332</v>
      </c>
      <c r="G155" s="88">
        <v>1978</v>
      </c>
      <c r="H155" s="88" t="s">
        <v>333</v>
      </c>
      <c r="I155" s="88" t="s">
        <v>1482</v>
      </c>
      <c r="J155" s="88" t="s">
        <v>335</v>
      </c>
      <c r="K155" s="92" t="s">
        <v>1482</v>
      </c>
      <c r="L155" s="93"/>
      <c r="M155" s="94" t="s">
        <v>2272</v>
      </c>
      <c r="N155" s="88" t="s">
        <v>73</v>
      </c>
      <c r="O155" s="88" t="s">
        <v>336</v>
      </c>
      <c r="P155" s="88" t="s">
        <v>134</v>
      </c>
      <c r="Q155" s="88" t="s">
        <v>76</v>
      </c>
      <c r="R155" s="88" t="s">
        <v>709</v>
      </c>
      <c r="S155" s="88" t="s">
        <v>331</v>
      </c>
      <c r="T155" s="88" t="s">
        <v>331</v>
      </c>
      <c r="U155" s="88" t="s">
        <v>130</v>
      </c>
      <c r="V155" s="88" t="s">
        <v>331</v>
      </c>
      <c r="W155" s="88" t="s">
        <v>339</v>
      </c>
      <c r="X155" s="88" t="s">
        <v>130</v>
      </c>
      <c r="Y155" s="88" t="s">
        <v>351</v>
      </c>
      <c r="Z155" s="88" t="s">
        <v>130</v>
      </c>
      <c r="AA155" s="95"/>
      <c r="AB155" s="88" t="s">
        <v>1545</v>
      </c>
      <c r="AC155" s="88" t="s">
        <v>1546</v>
      </c>
      <c r="AD155" s="88" t="s">
        <v>342</v>
      </c>
      <c r="AE155" s="88" t="s">
        <v>394</v>
      </c>
      <c r="AF155" s="88" t="s">
        <v>130</v>
      </c>
      <c r="AG155" s="88" t="s">
        <v>361</v>
      </c>
      <c r="AH155" s="88" t="s">
        <v>1547</v>
      </c>
      <c r="AI155" s="88" t="s">
        <v>346</v>
      </c>
      <c r="AJ155" s="95"/>
      <c r="AK155" s="88" t="s">
        <v>1548</v>
      </c>
      <c r="AL155" s="88" t="s">
        <v>339</v>
      </c>
      <c r="AM155" s="95"/>
      <c r="AN155" s="96" t="s">
        <v>1549</v>
      </c>
      <c r="AO155" s="84"/>
    </row>
    <row r="156" spans="1:41" s="85" customFormat="1" x14ac:dyDescent="0.25">
      <c r="A156" s="88" t="s">
        <v>283</v>
      </c>
      <c r="B156" s="88" t="s">
        <v>1550</v>
      </c>
      <c r="C156" s="88" t="s">
        <v>197</v>
      </c>
      <c r="D156" s="88" t="s">
        <v>43</v>
      </c>
      <c r="E156" s="88" t="s">
        <v>351</v>
      </c>
      <c r="F156" s="88" t="s">
        <v>332</v>
      </c>
      <c r="G156" s="88">
        <v>2015</v>
      </c>
      <c r="H156" s="88">
        <v>2025</v>
      </c>
      <c r="I156" s="88" t="s">
        <v>1551</v>
      </c>
      <c r="J156" s="88" t="s">
        <v>351</v>
      </c>
      <c r="K156" s="92" t="s">
        <v>1552</v>
      </c>
      <c r="L156" s="93"/>
      <c r="M156" s="94" t="s">
        <v>2252</v>
      </c>
      <c r="N156" s="88" t="s">
        <v>1553</v>
      </c>
      <c r="O156" s="88" t="s">
        <v>110</v>
      </c>
      <c r="P156" s="88" t="s">
        <v>800</v>
      </c>
      <c r="Q156" s="88" t="s">
        <v>1554</v>
      </c>
      <c r="R156" s="88" t="s">
        <v>1555</v>
      </c>
      <c r="S156" s="88" t="s">
        <v>130</v>
      </c>
      <c r="T156" s="88" t="s">
        <v>331</v>
      </c>
      <c r="U156" s="88" t="s">
        <v>130</v>
      </c>
      <c r="V156" s="88" t="s">
        <v>331</v>
      </c>
      <c r="W156" s="88" t="s">
        <v>351</v>
      </c>
      <c r="X156" s="88" t="s">
        <v>1489</v>
      </c>
      <c r="Y156" s="88" t="s">
        <v>351</v>
      </c>
      <c r="Z156" s="88" t="s">
        <v>380</v>
      </c>
      <c r="AA156" s="95"/>
      <c r="AB156" s="88" t="s">
        <v>1556</v>
      </c>
      <c r="AC156" s="88" t="s">
        <v>1557</v>
      </c>
      <c r="AD156" s="88" t="s">
        <v>1558</v>
      </c>
      <c r="AE156" s="88" t="s">
        <v>448</v>
      </c>
      <c r="AF156" s="88" t="s">
        <v>1480</v>
      </c>
      <c r="AG156" s="88" t="s">
        <v>1559</v>
      </c>
      <c r="AH156" s="88" t="s">
        <v>1560</v>
      </c>
      <c r="AI156" s="88" t="s">
        <v>346</v>
      </c>
      <c r="AJ156" s="95"/>
      <c r="AK156" s="88" t="s">
        <v>339</v>
      </c>
      <c r="AL156" s="88" t="s">
        <v>339</v>
      </c>
      <c r="AM156" s="95"/>
      <c r="AN156" s="96" t="s">
        <v>1561</v>
      </c>
      <c r="AO156" s="84"/>
    </row>
    <row r="157" spans="1:41" s="85" customFormat="1" x14ac:dyDescent="0.25">
      <c r="A157" s="88" t="s">
        <v>283</v>
      </c>
      <c r="B157" s="88" t="s">
        <v>1562</v>
      </c>
      <c r="C157" s="88" t="s">
        <v>197</v>
      </c>
      <c r="D157" s="88" t="s">
        <v>43</v>
      </c>
      <c r="E157" s="88" t="s">
        <v>351</v>
      </c>
      <c r="F157" s="88" t="s">
        <v>332</v>
      </c>
      <c r="G157" s="88">
        <v>2019</v>
      </c>
      <c r="H157" s="88" t="s">
        <v>333</v>
      </c>
      <c r="I157" s="88" t="s">
        <v>1563</v>
      </c>
      <c r="J157" s="88" t="s">
        <v>335</v>
      </c>
      <c r="K157" s="92" t="s">
        <v>1564</v>
      </c>
      <c r="L157" s="93"/>
      <c r="M157" s="94" t="s">
        <v>2272</v>
      </c>
      <c r="N157" s="88" t="s">
        <v>79</v>
      </c>
      <c r="O157" s="88" t="s">
        <v>336</v>
      </c>
      <c r="P157" s="88" t="s">
        <v>81</v>
      </c>
      <c r="Q157" s="88" t="s">
        <v>106</v>
      </c>
      <c r="R157" s="88" t="s">
        <v>410</v>
      </c>
      <c r="S157" s="88" t="s">
        <v>1523</v>
      </c>
      <c r="T157" s="88" t="s">
        <v>331</v>
      </c>
      <c r="U157" s="88" t="s">
        <v>130</v>
      </c>
      <c r="V157" s="88" t="s">
        <v>339</v>
      </c>
      <c r="W157" s="88" t="s">
        <v>339</v>
      </c>
      <c r="X157" s="88" t="s">
        <v>131</v>
      </c>
      <c r="Y157" s="88" t="s">
        <v>351</v>
      </c>
      <c r="Z157" s="88" t="s">
        <v>380</v>
      </c>
      <c r="AA157" s="95"/>
      <c r="AB157" s="88" t="s">
        <v>1565</v>
      </c>
      <c r="AC157" s="88" t="s">
        <v>1566</v>
      </c>
      <c r="AD157" s="88" t="s">
        <v>342</v>
      </c>
      <c r="AE157" s="88" t="s">
        <v>448</v>
      </c>
      <c r="AF157" s="88" t="s">
        <v>130</v>
      </c>
      <c r="AG157" s="88" t="s">
        <v>361</v>
      </c>
      <c r="AH157" s="88" t="s">
        <v>375</v>
      </c>
      <c r="AI157" s="88" t="s">
        <v>346</v>
      </c>
      <c r="AJ157" s="95"/>
      <c r="AK157" s="88" t="s">
        <v>339</v>
      </c>
      <c r="AL157" s="88" t="s">
        <v>339</v>
      </c>
      <c r="AM157" s="95"/>
      <c r="AN157" s="96" t="s">
        <v>1567</v>
      </c>
      <c r="AO157" s="84"/>
    </row>
    <row r="158" spans="1:41" s="85" customFormat="1" x14ac:dyDescent="0.25">
      <c r="A158" s="88" t="s">
        <v>283</v>
      </c>
      <c r="B158" s="88" t="s">
        <v>1568</v>
      </c>
      <c r="C158" s="88" t="s">
        <v>197</v>
      </c>
      <c r="D158" s="88" t="s">
        <v>43</v>
      </c>
      <c r="E158" s="88" t="s">
        <v>351</v>
      </c>
      <c r="F158" s="88" t="s">
        <v>332</v>
      </c>
      <c r="G158" s="88">
        <v>2016</v>
      </c>
      <c r="H158" s="88">
        <v>2023</v>
      </c>
      <c r="I158" s="88" t="s">
        <v>1569</v>
      </c>
      <c r="J158" s="88" t="s">
        <v>351</v>
      </c>
      <c r="K158" s="92" t="s">
        <v>1569</v>
      </c>
      <c r="L158" s="93"/>
      <c r="M158" s="94" t="s">
        <v>2272</v>
      </c>
      <c r="N158" s="88" t="s">
        <v>476</v>
      </c>
      <c r="O158" s="88" t="s">
        <v>408</v>
      </c>
      <c r="P158" s="88" t="s">
        <v>134</v>
      </c>
      <c r="Q158" s="88" t="s">
        <v>139</v>
      </c>
      <c r="R158" s="88" t="s">
        <v>410</v>
      </c>
      <c r="S158" s="88" t="s">
        <v>335</v>
      </c>
      <c r="T158" s="88" t="s">
        <v>331</v>
      </c>
      <c r="U158" s="88" t="s">
        <v>130</v>
      </c>
      <c r="V158" s="88" t="s">
        <v>351</v>
      </c>
      <c r="W158" s="88" t="s">
        <v>351</v>
      </c>
      <c r="X158" s="88" t="s">
        <v>338</v>
      </c>
      <c r="Y158" s="88" t="s">
        <v>351</v>
      </c>
      <c r="Z158" s="88" t="s">
        <v>339</v>
      </c>
      <c r="AA158" s="95"/>
      <c r="AB158" s="88" t="s">
        <v>1570</v>
      </c>
      <c r="AC158" s="88" t="s">
        <v>1571</v>
      </c>
      <c r="AD158" s="88" t="s">
        <v>1572</v>
      </c>
      <c r="AE158" s="88" t="s">
        <v>448</v>
      </c>
      <c r="AF158" s="88" t="s">
        <v>130</v>
      </c>
      <c r="AG158" s="88" t="s">
        <v>1573</v>
      </c>
      <c r="AH158" s="88" t="s">
        <v>375</v>
      </c>
      <c r="AI158" s="88" t="s">
        <v>346</v>
      </c>
      <c r="AJ158" s="95"/>
      <c r="AK158" s="88" t="s">
        <v>1574</v>
      </c>
      <c r="AL158" s="88" t="s">
        <v>1575</v>
      </c>
      <c r="AM158" s="95"/>
      <c r="AN158" s="96" t="s">
        <v>1576</v>
      </c>
      <c r="AO158" s="84"/>
    </row>
    <row r="159" spans="1:41" s="85" customFormat="1" x14ac:dyDescent="0.25">
      <c r="A159" s="88" t="s">
        <v>283</v>
      </c>
      <c r="B159" s="88" t="s">
        <v>1577</v>
      </c>
      <c r="C159" s="88" t="s">
        <v>197</v>
      </c>
      <c r="D159" s="88" t="s">
        <v>43</v>
      </c>
      <c r="E159" s="88" t="s">
        <v>351</v>
      </c>
      <c r="F159" s="88" t="s">
        <v>387</v>
      </c>
      <c r="G159" s="88">
        <v>2003</v>
      </c>
      <c r="H159" s="88" t="s">
        <v>333</v>
      </c>
      <c r="I159" s="88" t="s">
        <v>353</v>
      </c>
      <c r="J159" s="88" t="s">
        <v>351</v>
      </c>
      <c r="K159" s="92" t="s">
        <v>1578</v>
      </c>
      <c r="L159" s="93"/>
      <c r="M159" s="119" t="s">
        <v>2272</v>
      </c>
      <c r="N159" s="88" t="s">
        <v>121</v>
      </c>
      <c r="O159" s="88" t="s">
        <v>1579</v>
      </c>
      <c r="P159" s="88" t="s">
        <v>134</v>
      </c>
      <c r="Q159" s="88" t="s">
        <v>139</v>
      </c>
      <c r="R159" s="88" t="s">
        <v>83</v>
      </c>
      <c r="S159" s="88" t="s">
        <v>331</v>
      </c>
      <c r="T159" s="88" t="s">
        <v>331</v>
      </c>
      <c r="U159" s="88" t="s">
        <v>130</v>
      </c>
      <c r="V159" s="88" t="s">
        <v>331</v>
      </c>
      <c r="W159" s="88" t="s">
        <v>356</v>
      </c>
      <c r="X159" s="88" t="s">
        <v>130</v>
      </c>
      <c r="Y159" s="88" t="s">
        <v>339</v>
      </c>
      <c r="Z159" s="88" t="s">
        <v>339</v>
      </c>
      <c r="AA159" s="95"/>
      <c r="AB159" s="88" t="s">
        <v>353</v>
      </c>
      <c r="AC159" s="88" t="s">
        <v>1580</v>
      </c>
      <c r="AD159" s="88" t="s">
        <v>529</v>
      </c>
      <c r="AE159" s="88" t="s">
        <v>359</v>
      </c>
      <c r="AF159" s="88" t="s">
        <v>130</v>
      </c>
      <c r="AG159" s="88" t="s">
        <v>361</v>
      </c>
      <c r="AH159" s="88" t="s">
        <v>375</v>
      </c>
      <c r="AI159" s="88" t="s">
        <v>346</v>
      </c>
      <c r="AJ159" s="95"/>
      <c r="AK159" s="88" t="s">
        <v>339</v>
      </c>
      <c r="AL159" s="88" t="s">
        <v>339</v>
      </c>
      <c r="AM159" s="95"/>
      <c r="AN159" s="96" t="s">
        <v>960</v>
      </c>
      <c r="AO159" s="84"/>
    </row>
    <row r="160" spans="1:41" s="85" customFormat="1" x14ac:dyDescent="0.25">
      <c r="A160" s="88" t="s">
        <v>284</v>
      </c>
      <c r="B160" s="88" t="s">
        <v>1581</v>
      </c>
      <c r="C160" s="88" t="s">
        <v>197</v>
      </c>
      <c r="D160" s="88" t="s">
        <v>43</v>
      </c>
      <c r="E160" s="88" t="s">
        <v>351</v>
      </c>
      <c r="F160" s="88" t="s">
        <v>332</v>
      </c>
      <c r="G160" s="88">
        <v>2014</v>
      </c>
      <c r="H160" s="88" t="s">
        <v>333</v>
      </c>
      <c r="I160" s="88" t="s">
        <v>1582</v>
      </c>
      <c r="J160" s="88" t="s">
        <v>351</v>
      </c>
      <c r="K160" s="92" t="s">
        <v>1583</v>
      </c>
      <c r="L160" s="93"/>
      <c r="M160" s="94" t="s">
        <v>2272</v>
      </c>
      <c r="N160" s="88" t="s">
        <v>79</v>
      </c>
      <c r="O160" s="88" t="s">
        <v>98</v>
      </c>
      <c r="P160" s="88" t="s">
        <v>602</v>
      </c>
      <c r="Q160" s="88" t="s">
        <v>139</v>
      </c>
      <c r="R160" s="88" t="s">
        <v>138</v>
      </c>
      <c r="S160" s="88" t="s">
        <v>331</v>
      </c>
      <c r="T160" s="88" t="s">
        <v>331</v>
      </c>
      <c r="U160" s="88" t="s">
        <v>130</v>
      </c>
      <c r="V160" s="88" t="s">
        <v>339</v>
      </c>
      <c r="W160" s="88" t="s">
        <v>351</v>
      </c>
      <c r="X160" s="88" t="s">
        <v>338</v>
      </c>
      <c r="Y160" s="88" t="s">
        <v>339</v>
      </c>
      <c r="Z160" s="88" t="s">
        <v>339</v>
      </c>
      <c r="AA160" s="95"/>
      <c r="AB160" s="88" t="s">
        <v>1584</v>
      </c>
      <c r="AC160" s="88" t="s">
        <v>1585</v>
      </c>
      <c r="AD160" s="88" t="s">
        <v>1586</v>
      </c>
      <c r="AE160" s="88" t="s">
        <v>359</v>
      </c>
      <c r="AF160" s="88" t="s">
        <v>130</v>
      </c>
      <c r="AG160" s="88" t="s">
        <v>1587</v>
      </c>
      <c r="AH160" s="88" t="s">
        <v>375</v>
      </c>
      <c r="AI160" s="88" t="s">
        <v>346</v>
      </c>
      <c r="AJ160" s="95"/>
      <c r="AK160" s="88" t="s">
        <v>1588</v>
      </c>
      <c r="AL160" s="88" t="s">
        <v>339</v>
      </c>
      <c r="AM160" s="95"/>
      <c r="AN160" s="96" t="s">
        <v>1589</v>
      </c>
      <c r="AO160" s="84"/>
    </row>
    <row r="161" spans="1:41" s="85" customFormat="1" x14ac:dyDescent="0.25">
      <c r="A161" s="88" t="s">
        <v>285</v>
      </c>
      <c r="B161" s="88" t="s">
        <v>1590</v>
      </c>
      <c r="C161" s="88" t="s">
        <v>24</v>
      </c>
      <c r="D161" s="88" t="s">
        <v>43</v>
      </c>
      <c r="E161" s="88" t="s">
        <v>351</v>
      </c>
      <c r="F161" s="88" t="s">
        <v>387</v>
      </c>
      <c r="G161" s="88" t="s">
        <v>416</v>
      </c>
      <c r="H161" s="88" t="s">
        <v>333</v>
      </c>
      <c r="I161" s="88" t="s">
        <v>353</v>
      </c>
      <c r="J161" s="88" t="s">
        <v>351</v>
      </c>
      <c r="K161" s="92" t="s">
        <v>407</v>
      </c>
      <c r="L161" s="93"/>
      <c r="M161" s="94" t="s">
        <v>2248</v>
      </c>
      <c r="N161" s="88" t="s">
        <v>476</v>
      </c>
      <c r="O161" s="88" t="s">
        <v>98</v>
      </c>
      <c r="P161" s="88" t="s">
        <v>134</v>
      </c>
      <c r="Q161" s="88" t="s">
        <v>139</v>
      </c>
      <c r="R161" s="88" t="s">
        <v>138</v>
      </c>
      <c r="S161" s="88" t="s">
        <v>331</v>
      </c>
      <c r="T161" s="88" t="s">
        <v>331</v>
      </c>
      <c r="U161" s="88" t="s">
        <v>130</v>
      </c>
      <c r="V161" s="88" t="s">
        <v>339</v>
      </c>
      <c r="W161" s="88" t="s">
        <v>339</v>
      </c>
      <c r="X161" s="88" t="s">
        <v>130</v>
      </c>
      <c r="Y161" s="88" t="s">
        <v>339</v>
      </c>
      <c r="Z161" s="88" t="s">
        <v>339</v>
      </c>
      <c r="AA161" s="95"/>
      <c r="AB161" s="88" t="s">
        <v>1591</v>
      </c>
      <c r="AC161" s="88" t="s">
        <v>1592</v>
      </c>
      <c r="AD161" s="88" t="s">
        <v>342</v>
      </c>
      <c r="AE161" s="88" t="s">
        <v>359</v>
      </c>
      <c r="AF161" s="88" t="s">
        <v>130</v>
      </c>
      <c r="AG161" s="88" t="s">
        <v>361</v>
      </c>
      <c r="AH161" s="88" t="s">
        <v>375</v>
      </c>
      <c r="AI161" s="88" t="s">
        <v>346</v>
      </c>
      <c r="AJ161" s="95"/>
      <c r="AK161" s="88" t="s">
        <v>339</v>
      </c>
      <c r="AL161" s="88" t="s">
        <v>1593</v>
      </c>
      <c r="AM161" s="95"/>
      <c r="AN161" s="96" t="s">
        <v>1594</v>
      </c>
      <c r="AO161" s="84"/>
    </row>
    <row r="162" spans="1:41" s="85" customFormat="1" x14ac:dyDescent="0.25">
      <c r="A162" s="88" t="s">
        <v>285</v>
      </c>
      <c r="B162" s="88" t="s">
        <v>1595</v>
      </c>
      <c r="C162" s="88" t="s">
        <v>24</v>
      </c>
      <c r="D162" s="88" t="s">
        <v>43</v>
      </c>
      <c r="E162" s="88" t="s">
        <v>351</v>
      </c>
      <c r="F162" s="88" t="s">
        <v>387</v>
      </c>
      <c r="G162" s="100" t="s">
        <v>1596</v>
      </c>
      <c r="H162" s="98">
        <v>43100</v>
      </c>
      <c r="I162" s="88" t="s">
        <v>1597</v>
      </c>
      <c r="J162" s="88" t="s">
        <v>351</v>
      </c>
      <c r="K162" s="92" t="s">
        <v>1597</v>
      </c>
      <c r="L162" s="93"/>
      <c r="M162" s="94" t="s">
        <v>2272</v>
      </c>
      <c r="N162" s="88" t="s">
        <v>460</v>
      </c>
      <c r="O162" s="88" t="s">
        <v>684</v>
      </c>
      <c r="P162" s="88" t="s">
        <v>134</v>
      </c>
      <c r="Q162" s="88" t="s">
        <v>1598</v>
      </c>
      <c r="R162" s="88" t="s">
        <v>138</v>
      </c>
      <c r="S162" s="88" t="s">
        <v>331</v>
      </c>
      <c r="T162" s="88" t="s">
        <v>331</v>
      </c>
      <c r="U162" s="88" t="s">
        <v>130</v>
      </c>
      <c r="V162" s="88" t="s">
        <v>351</v>
      </c>
      <c r="W162" s="88" t="s">
        <v>339</v>
      </c>
      <c r="X162" s="88" t="s">
        <v>130</v>
      </c>
      <c r="Y162" s="88" t="s">
        <v>351</v>
      </c>
      <c r="Z162" s="88" t="s">
        <v>380</v>
      </c>
      <c r="AA162" s="95"/>
      <c r="AB162" s="88" t="s">
        <v>1599</v>
      </c>
      <c r="AC162" s="97" t="s">
        <v>1600</v>
      </c>
      <c r="AD162" s="88" t="s">
        <v>1601</v>
      </c>
      <c r="AE162" s="88" t="s">
        <v>751</v>
      </c>
      <c r="AF162" s="88" t="s">
        <v>130</v>
      </c>
      <c r="AG162" s="88" t="s">
        <v>361</v>
      </c>
      <c r="AH162" s="88" t="s">
        <v>375</v>
      </c>
      <c r="AI162" s="88" t="s">
        <v>346</v>
      </c>
      <c r="AJ162" s="95"/>
      <c r="AK162" s="88" t="s">
        <v>1602</v>
      </c>
      <c r="AL162" s="88" t="s">
        <v>339</v>
      </c>
      <c r="AM162" s="95"/>
      <c r="AN162" s="96" t="s">
        <v>1603</v>
      </c>
      <c r="AO162" s="84"/>
    </row>
    <row r="163" spans="1:41" s="85" customFormat="1" x14ac:dyDescent="0.25">
      <c r="A163" s="88" t="s">
        <v>286</v>
      </c>
      <c r="B163" s="88" t="s">
        <v>1604</v>
      </c>
      <c r="C163" s="88" t="s">
        <v>252</v>
      </c>
      <c r="D163" s="88" t="s">
        <v>250</v>
      </c>
      <c r="E163" s="88" t="s">
        <v>351</v>
      </c>
      <c r="F163" s="88" t="s">
        <v>332</v>
      </c>
      <c r="G163" s="88">
        <v>2010</v>
      </c>
      <c r="H163" s="88" t="s">
        <v>333</v>
      </c>
      <c r="I163" s="88" t="s">
        <v>877</v>
      </c>
      <c r="J163" s="88" t="s">
        <v>335</v>
      </c>
      <c r="K163" s="92" t="s">
        <v>1605</v>
      </c>
      <c r="L163" s="93"/>
      <c r="M163" s="94" t="s">
        <v>2252</v>
      </c>
      <c r="N163" s="88" t="s">
        <v>1085</v>
      </c>
      <c r="O163" s="88" t="s">
        <v>684</v>
      </c>
      <c r="P163" s="88" t="s">
        <v>81</v>
      </c>
      <c r="Q163" s="88" t="s">
        <v>434</v>
      </c>
      <c r="R163" s="88" t="s">
        <v>138</v>
      </c>
      <c r="S163" s="88" t="s">
        <v>130</v>
      </c>
      <c r="T163" s="88" t="s">
        <v>331</v>
      </c>
      <c r="U163" s="88" t="s">
        <v>130</v>
      </c>
      <c r="V163" s="88" t="s">
        <v>331</v>
      </c>
      <c r="W163" s="88" t="s">
        <v>351</v>
      </c>
      <c r="X163" s="88" t="s">
        <v>338</v>
      </c>
      <c r="Y163" s="88" t="s">
        <v>351</v>
      </c>
      <c r="Z163" s="88" t="s">
        <v>512</v>
      </c>
      <c r="AA163" s="95"/>
      <c r="AB163" s="88" t="s">
        <v>1606</v>
      </c>
      <c r="AC163" s="88" t="s">
        <v>1607</v>
      </c>
      <c r="AD163" s="88" t="s">
        <v>1608</v>
      </c>
      <c r="AE163" s="88" t="s">
        <v>448</v>
      </c>
      <c r="AF163" s="88" t="s">
        <v>1609</v>
      </c>
      <c r="AG163" s="88" t="s">
        <v>1610</v>
      </c>
      <c r="AH163" s="88" t="s">
        <v>1611</v>
      </c>
      <c r="AI163" s="88" t="s">
        <v>346</v>
      </c>
      <c r="AJ163" s="95"/>
      <c r="AK163" s="88" t="s">
        <v>339</v>
      </c>
      <c r="AL163" s="88" t="s">
        <v>339</v>
      </c>
      <c r="AM163" s="95"/>
      <c r="AN163" s="96" t="s">
        <v>1612</v>
      </c>
      <c r="AO163" s="84"/>
    </row>
    <row r="164" spans="1:41" s="85" customFormat="1" x14ac:dyDescent="0.25">
      <c r="A164" s="88" t="s">
        <v>286</v>
      </c>
      <c r="B164" s="88" t="s">
        <v>1613</v>
      </c>
      <c r="C164" s="88" t="s">
        <v>252</v>
      </c>
      <c r="D164" s="88" t="s">
        <v>250</v>
      </c>
      <c r="E164" s="88" t="s">
        <v>351</v>
      </c>
      <c r="F164" s="88" t="s">
        <v>332</v>
      </c>
      <c r="G164" s="88">
        <v>2008</v>
      </c>
      <c r="H164" s="88" t="s">
        <v>333</v>
      </c>
      <c r="I164" s="88" t="s">
        <v>1614</v>
      </c>
      <c r="J164" s="88" t="s">
        <v>335</v>
      </c>
      <c r="K164" s="92" t="s">
        <v>1614</v>
      </c>
      <c r="L164" s="93"/>
      <c r="M164" s="94" t="s">
        <v>2272</v>
      </c>
      <c r="N164" s="88" t="s">
        <v>1615</v>
      </c>
      <c r="O164" s="88" t="s">
        <v>550</v>
      </c>
      <c r="P164" s="88" t="s">
        <v>1616</v>
      </c>
      <c r="Q164" s="88" t="s">
        <v>139</v>
      </c>
      <c r="R164" s="88" t="s">
        <v>83</v>
      </c>
      <c r="S164" s="88" t="s">
        <v>1604</v>
      </c>
      <c r="T164" s="88" t="s">
        <v>331</v>
      </c>
      <c r="U164" s="88" t="s">
        <v>523</v>
      </c>
      <c r="V164" s="88" t="s">
        <v>331</v>
      </c>
      <c r="W164" s="88" t="s">
        <v>351</v>
      </c>
      <c r="X164" s="88" t="s">
        <v>338</v>
      </c>
      <c r="Y164" s="88" t="s">
        <v>339</v>
      </c>
      <c r="Z164" s="88" t="s">
        <v>339</v>
      </c>
      <c r="AA164" s="95"/>
      <c r="AB164" s="88" t="s">
        <v>1617</v>
      </c>
      <c r="AC164" s="88" t="s">
        <v>1618</v>
      </c>
      <c r="AD164" s="88" t="s">
        <v>596</v>
      </c>
      <c r="AE164" s="88" t="s">
        <v>359</v>
      </c>
      <c r="AF164" s="88" t="s">
        <v>130</v>
      </c>
      <c r="AG164" s="88" t="s">
        <v>1619</v>
      </c>
      <c r="AH164" s="88" t="s">
        <v>528</v>
      </c>
      <c r="AI164" s="88" t="s">
        <v>544</v>
      </c>
      <c r="AJ164" s="95"/>
      <c r="AK164" s="88" t="s">
        <v>529</v>
      </c>
      <c r="AL164" s="88" t="s">
        <v>529</v>
      </c>
      <c r="AM164" s="95"/>
      <c r="AN164" s="96" t="s">
        <v>1620</v>
      </c>
      <c r="AO164" s="84"/>
    </row>
    <row r="165" spans="1:41" s="85" customFormat="1" x14ac:dyDescent="0.25">
      <c r="A165" s="88" t="s">
        <v>286</v>
      </c>
      <c r="B165" s="88" t="s">
        <v>1621</v>
      </c>
      <c r="C165" s="88" t="s">
        <v>252</v>
      </c>
      <c r="D165" s="88" t="s">
        <v>250</v>
      </c>
      <c r="E165" s="88" t="s">
        <v>351</v>
      </c>
      <c r="F165" s="88" t="s">
        <v>332</v>
      </c>
      <c r="G165" s="88">
        <v>2011</v>
      </c>
      <c r="H165" s="88" t="s">
        <v>333</v>
      </c>
      <c r="I165" s="88" t="s">
        <v>542</v>
      </c>
      <c r="J165" s="88" t="s">
        <v>335</v>
      </c>
      <c r="K165" s="92" t="s">
        <v>542</v>
      </c>
      <c r="L165" s="93"/>
      <c r="M165" s="94" t="s">
        <v>2272</v>
      </c>
      <c r="N165" s="88" t="s">
        <v>1293</v>
      </c>
      <c r="O165" s="88" t="s">
        <v>550</v>
      </c>
      <c r="P165" s="88" t="s">
        <v>1622</v>
      </c>
      <c r="Q165" s="88" t="s">
        <v>1623</v>
      </c>
      <c r="R165" s="88" t="s">
        <v>83</v>
      </c>
      <c r="S165" s="88" t="s">
        <v>1604</v>
      </c>
      <c r="T165" s="88" t="s">
        <v>331</v>
      </c>
      <c r="U165" s="88" t="s">
        <v>130</v>
      </c>
      <c r="V165" s="88" t="s">
        <v>331</v>
      </c>
      <c r="W165" s="88" t="s">
        <v>351</v>
      </c>
      <c r="X165" s="88" t="s">
        <v>338</v>
      </c>
      <c r="Y165" s="88" t="s">
        <v>331</v>
      </c>
      <c r="Z165" s="88" t="s">
        <v>331</v>
      </c>
      <c r="AA165" s="95"/>
      <c r="AB165" s="88" t="s">
        <v>1624</v>
      </c>
      <c r="AC165" s="97" t="s">
        <v>1625</v>
      </c>
      <c r="AD165" s="88" t="s">
        <v>596</v>
      </c>
      <c r="AE165" s="88" t="s">
        <v>448</v>
      </c>
      <c r="AF165" s="88" t="s">
        <v>130</v>
      </c>
      <c r="AG165" s="88" t="s">
        <v>1626</v>
      </c>
      <c r="AH165" s="88" t="s">
        <v>375</v>
      </c>
      <c r="AI165" s="88" t="s">
        <v>544</v>
      </c>
      <c r="AJ165" s="95"/>
      <c r="AK165" s="88" t="s">
        <v>529</v>
      </c>
      <c r="AL165" s="88" t="s">
        <v>529</v>
      </c>
      <c r="AM165" s="95"/>
      <c r="AN165" s="96" t="s">
        <v>1620</v>
      </c>
      <c r="AO165" s="84"/>
    </row>
    <row r="166" spans="1:41" s="85" customFormat="1" x14ac:dyDescent="0.25">
      <c r="A166" s="88" t="s">
        <v>286</v>
      </c>
      <c r="B166" s="88" t="s">
        <v>1627</v>
      </c>
      <c r="C166" s="88" t="s">
        <v>252</v>
      </c>
      <c r="D166" s="88" t="s">
        <v>250</v>
      </c>
      <c r="E166" s="88" t="s">
        <v>351</v>
      </c>
      <c r="F166" s="88" t="s">
        <v>332</v>
      </c>
      <c r="G166" s="101" t="s">
        <v>983</v>
      </c>
      <c r="H166" s="88" t="s">
        <v>333</v>
      </c>
      <c r="I166" s="88" t="s">
        <v>1628</v>
      </c>
      <c r="J166" s="88" t="s">
        <v>351</v>
      </c>
      <c r="K166" s="92" t="s">
        <v>1629</v>
      </c>
      <c r="L166" s="93"/>
      <c r="M166" s="94" t="s">
        <v>2272</v>
      </c>
      <c r="N166" s="88" t="s">
        <v>85</v>
      </c>
      <c r="O166" s="88" t="s">
        <v>336</v>
      </c>
      <c r="P166" s="88" t="s">
        <v>134</v>
      </c>
      <c r="Q166" s="88" t="s">
        <v>139</v>
      </c>
      <c r="R166" s="88" t="s">
        <v>77</v>
      </c>
      <c r="S166" s="88" t="s">
        <v>331</v>
      </c>
      <c r="T166" s="88" t="s">
        <v>351</v>
      </c>
      <c r="U166" s="88" t="s">
        <v>90</v>
      </c>
      <c r="V166" s="88" t="s">
        <v>351</v>
      </c>
      <c r="W166" s="88" t="s">
        <v>339</v>
      </c>
      <c r="X166" s="88" t="s">
        <v>130</v>
      </c>
      <c r="Y166" s="88" t="s">
        <v>339</v>
      </c>
      <c r="Z166" s="88" t="s">
        <v>339</v>
      </c>
      <c r="AA166" s="95"/>
      <c r="AB166" s="88" t="s">
        <v>1630</v>
      </c>
      <c r="AC166" s="88" t="s">
        <v>1631</v>
      </c>
      <c r="AD166" s="88" t="s">
        <v>1632</v>
      </c>
      <c r="AE166" s="88" t="s">
        <v>359</v>
      </c>
      <c r="AF166" s="88" t="s">
        <v>130</v>
      </c>
      <c r="AG166" s="88" t="s">
        <v>361</v>
      </c>
      <c r="AH166" s="88" t="s">
        <v>375</v>
      </c>
      <c r="AI166" s="88" t="s">
        <v>346</v>
      </c>
      <c r="AJ166" s="95"/>
      <c r="AK166" s="88" t="s">
        <v>339</v>
      </c>
      <c r="AL166" s="88" t="s">
        <v>339</v>
      </c>
      <c r="AM166" s="95"/>
      <c r="AN166" s="96" t="s">
        <v>1633</v>
      </c>
      <c r="AO166" s="84"/>
    </row>
    <row r="167" spans="1:41" s="85" customFormat="1" x14ac:dyDescent="0.25">
      <c r="A167" s="88" t="s">
        <v>286</v>
      </c>
      <c r="B167" s="88" t="s">
        <v>1634</v>
      </c>
      <c r="C167" s="88" t="s">
        <v>252</v>
      </c>
      <c r="D167" s="88" t="s">
        <v>250</v>
      </c>
      <c r="E167" s="88" t="s">
        <v>351</v>
      </c>
      <c r="F167" s="88" t="s">
        <v>332</v>
      </c>
      <c r="G167" s="88">
        <v>2011</v>
      </c>
      <c r="H167" s="88" t="s">
        <v>333</v>
      </c>
      <c r="I167" s="88" t="s">
        <v>1635</v>
      </c>
      <c r="J167" s="88" t="s">
        <v>335</v>
      </c>
      <c r="K167" s="92" t="s">
        <v>1636</v>
      </c>
      <c r="L167" s="93"/>
      <c r="M167" s="94" t="s">
        <v>2248</v>
      </c>
      <c r="N167" s="88" t="s">
        <v>1085</v>
      </c>
      <c r="O167" s="88" t="s">
        <v>98</v>
      </c>
      <c r="P167" s="88" t="s">
        <v>602</v>
      </c>
      <c r="Q167" s="88" t="s">
        <v>139</v>
      </c>
      <c r="R167" s="88" t="s">
        <v>119</v>
      </c>
      <c r="S167" s="88" t="s">
        <v>1604</v>
      </c>
      <c r="T167" s="88" t="s">
        <v>331</v>
      </c>
      <c r="U167" s="88" t="s">
        <v>130</v>
      </c>
      <c r="V167" s="88" t="s">
        <v>331</v>
      </c>
      <c r="W167" s="88" t="s">
        <v>339</v>
      </c>
      <c r="X167" s="88" t="s">
        <v>130</v>
      </c>
      <c r="Y167" s="88" t="s">
        <v>351</v>
      </c>
      <c r="Z167" s="88" t="s">
        <v>130</v>
      </c>
      <c r="AA167" s="95"/>
      <c r="AB167" s="88" t="s">
        <v>1637</v>
      </c>
      <c r="AC167" s="88" t="s">
        <v>1638</v>
      </c>
      <c r="AD167" s="88" t="s">
        <v>342</v>
      </c>
      <c r="AE167" s="88" t="s">
        <v>394</v>
      </c>
      <c r="AF167" s="88" t="s">
        <v>130</v>
      </c>
      <c r="AG167" s="88" t="s">
        <v>361</v>
      </c>
      <c r="AH167" s="88" t="s">
        <v>1639</v>
      </c>
      <c r="AI167" s="88" t="s">
        <v>346</v>
      </c>
      <c r="AJ167" s="95"/>
      <c r="AK167" s="88" t="s">
        <v>1640</v>
      </c>
      <c r="AL167" s="88" t="s">
        <v>1641</v>
      </c>
      <c r="AM167" s="95"/>
      <c r="AN167" s="96" t="s">
        <v>1642</v>
      </c>
      <c r="AO167" s="84"/>
    </row>
    <row r="168" spans="1:41" s="85" customFormat="1" x14ac:dyDescent="0.25">
      <c r="A168" s="88" t="s">
        <v>286</v>
      </c>
      <c r="B168" s="88" t="s">
        <v>1643</v>
      </c>
      <c r="C168" s="88" t="s">
        <v>252</v>
      </c>
      <c r="D168" s="88" t="s">
        <v>250</v>
      </c>
      <c r="E168" s="88" t="s">
        <v>351</v>
      </c>
      <c r="F168" s="88" t="s">
        <v>332</v>
      </c>
      <c r="G168" s="101" t="s">
        <v>908</v>
      </c>
      <c r="H168" s="88" t="s">
        <v>333</v>
      </c>
      <c r="I168" s="88" t="s">
        <v>1644</v>
      </c>
      <c r="J168" s="88" t="s">
        <v>351</v>
      </c>
      <c r="K168" s="92" t="s">
        <v>1645</v>
      </c>
      <c r="L168" s="93"/>
      <c r="M168" s="94" t="s">
        <v>2272</v>
      </c>
      <c r="N168" s="88" t="s">
        <v>85</v>
      </c>
      <c r="O168" s="88" t="s">
        <v>336</v>
      </c>
      <c r="P168" s="88" t="s">
        <v>105</v>
      </c>
      <c r="Q168" s="88" t="s">
        <v>1646</v>
      </c>
      <c r="R168" s="88" t="s">
        <v>138</v>
      </c>
      <c r="S168" s="88" t="s">
        <v>331</v>
      </c>
      <c r="T168" s="88" t="s">
        <v>351</v>
      </c>
      <c r="U168" s="88" t="s">
        <v>90</v>
      </c>
      <c r="V168" s="88" t="s">
        <v>351</v>
      </c>
      <c r="W168" s="88" t="s">
        <v>339</v>
      </c>
      <c r="X168" s="88" t="s">
        <v>130</v>
      </c>
      <c r="Y168" s="88" t="s">
        <v>339</v>
      </c>
      <c r="Z168" s="88" t="s">
        <v>339</v>
      </c>
      <c r="AA168" s="95"/>
      <c r="AB168" s="88" t="s">
        <v>1647</v>
      </c>
      <c r="AC168" s="88" t="s">
        <v>1648</v>
      </c>
      <c r="AD168" s="88" t="s">
        <v>1649</v>
      </c>
      <c r="AE168" s="88" t="s">
        <v>359</v>
      </c>
      <c r="AF168" s="88" t="s">
        <v>130</v>
      </c>
      <c r="AG168" s="88" t="s">
        <v>542</v>
      </c>
      <c r="AH168" s="88" t="s">
        <v>375</v>
      </c>
      <c r="AI168" s="88" t="s">
        <v>346</v>
      </c>
      <c r="AJ168" s="95"/>
      <c r="AK168" s="88" t="s">
        <v>1650</v>
      </c>
      <c r="AL168" s="88" t="s">
        <v>339</v>
      </c>
      <c r="AM168" s="95"/>
      <c r="AN168" s="96" t="s">
        <v>1651</v>
      </c>
      <c r="AO168" s="84"/>
    </row>
    <row r="169" spans="1:41" s="85" customFormat="1" x14ac:dyDescent="0.25">
      <c r="A169" s="88" t="s">
        <v>286</v>
      </c>
      <c r="B169" s="88" t="s">
        <v>1652</v>
      </c>
      <c r="C169" s="88" t="s">
        <v>252</v>
      </c>
      <c r="D169" s="88" t="s">
        <v>250</v>
      </c>
      <c r="E169" s="88" t="s">
        <v>351</v>
      </c>
      <c r="F169" s="88" t="s">
        <v>332</v>
      </c>
      <c r="G169" s="88">
        <v>2011</v>
      </c>
      <c r="H169" s="88" t="s">
        <v>333</v>
      </c>
      <c r="I169" s="88" t="s">
        <v>1653</v>
      </c>
      <c r="J169" s="88" t="s">
        <v>351</v>
      </c>
      <c r="K169" s="92" t="s">
        <v>1654</v>
      </c>
      <c r="L169" s="93"/>
      <c r="M169" s="94" t="s">
        <v>2272</v>
      </c>
      <c r="N169" s="88" t="s">
        <v>1655</v>
      </c>
      <c r="O169" s="88" t="s">
        <v>98</v>
      </c>
      <c r="P169" s="88" t="s">
        <v>134</v>
      </c>
      <c r="Q169" s="88" t="s">
        <v>139</v>
      </c>
      <c r="R169" s="88" t="s">
        <v>138</v>
      </c>
      <c r="S169" s="88" t="s">
        <v>331</v>
      </c>
      <c r="T169" s="88" t="s">
        <v>331</v>
      </c>
      <c r="U169" s="88" t="s">
        <v>130</v>
      </c>
      <c r="V169" s="88" t="s">
        <v>351</v>
      </c>
      <c r="W169" s="88" t="s">
        <v>356</v>
      </c>
      <c r="X169" s="88" t="s">
        <v>130</v>
      </c>
      <c r="Y169" s="88" t="s">
        <v>331</v>
      </c>
      <c r="Z169" s="88" t="s">
        <v>339</v>
      </c>
      <c r="AA169" s="95"/>
      <c r="AB169" s="88" t="s">
        <v>1656</v>
      </c>
      <c r="AC169" s="88" t="s">
        <v>1657</v>
      </c>
      <c r="AD169" s="88" t="s">
        <v>1658</v>
      </c>
      <c r="AE169" s="88" t="s">
        <v>359</v>
      </c>
      <c r="AF169" s="88" t="s">
        <v>130</v>
      </c>
      <c r="AG169" s="88" t="s">
        <v>361</v>
      </c>
      <c r="AH169" s="88" t="s">
        <v>375</v>
      </c>
      <c r="AI169" s="88" t="s">
        <v>346</v>
      </c>
      <c r="AJ169" s="95"/>
      <c r="AK169" s="88" t="s">
        <v>1659</v>
      </c>
      <c r="AL169" s="88" t="s">
        <v>339</v>
      </c>
      <c r="AM169" s="95"/>
      <c r="AN169" s="96" t="s">
        <v>1660</v>
      </c>
      <c r="AO169" s="84"/>
    </row>
    <row r="170" spans="1:41" s="85" customFormat="1" x14ac:dyDescent="0.25">
      <c r="A170" s="88" t="s">
        <v>286</v>
      </c>
      <c r="B170" s="88" t="s">
        <v>1661</v>
      </c>
      <c r="C170" s="88" t="s">
        <v>252</v>
      </c>
      <c r="D170" s="88" t="s">
        <v>250</v>
      </c>
      <c r="E170" s="88" t="s">
        <v>351</v>
      </c>
      <c r="F170" s="88" t="s">
        <v>332</v>
      </c>
      <c r="G170" s="88">
        <v>2016</v>
      </c>
      <c r="H170" s="88" t="s">
        <v>333</v>
      </c>
      <c r="I170" s="88" t="s">
        <v>1662</v>
      </c>
      <c r="J170" s="88" t="s">
        <v>335</v>
      </c>
      <c r="K170" s="92" t="s">
        <v>1663</v>
      </c>
      <c r="L170" s="93"/>
      <c r="M170" s="94" t="s">
        <v>2272</v>
      </c>
      <c r="N170" s="88" t="s">
        <v>1664</v>
      </c>
      <c r="O170" s="88" t="s">
        <v>110</v>
      </c>
      <c r="P170" s="88" t="s">
        <v>134</v>
      </c>
      <c r="Q170" s="88" t="s">
        <v>434</v>
      </c>
      <c r="R170" s="88" t="s">
        <v>709</v>
      </c>
      <c r="S170" s="88" t="s">
        <v>331</v>
      </c>
      <c r="T170" s="88" t="s">
        <v>331</v>
      </c>
      <c r="U170" s="88" t="s">
        <v>130</v>
      </c>
      <c r="V170" s="88" t="s">
        <v>339</v>
      </c>
      <c r="W170" s="88" t="s">
        <v>356</v>
      </c>
      <c r="X170" s="88" t="s">
        <v>130</v>
      </c>
      <c r="Y170" s="88" t="s">
        <v>351</v>
      </c>
      <c r="Z170" s="88" t="s">
        <v>339</v>
      </c>
      <c r="AA170" s="95"/>
      <c r="AB170" s="88" t="s">
        <v>1665</v>
      </c>
      <c r="AC170" s="88" t="s">
        <v>1666</v>
      </c>
      <c r="AD170" s="88" t="s">
        <v>342</v>
      </c>
      <c r="AE170" s="88" t="s">
        <v>394</v>
      </c>
      <c r="AF170" s="88" t="s">
        <v>130</v>
      </c>
      <c r="AG170" s="88" t="s">
        <v>361</v>
      </c>
      <c r="AH170" s="88" t="s">
        <v>375</v>
      </c>
      <c r="AI170" s="88" t="s">
        <v>346</v>
      </c>
      <c r="AJ170" s="95"/>
      <c r="AK170" s="88" t="s">
        <v>1667</v>
      </c>
      <c r="AL170" s="88" t="s">
        <v>1668</v>
      </c>
      <c r="AM170" s="95"/>
      <c r="AN170" s="96" t="s">
        <v>1669</v>
      </c>
      <c r="AO170" s="84"/>
    </row>
    <row r="171" spans="1:41" s="85" customFormat="1" x14ac:dyDescent="0.25">
      <c r="A171" s="88" t="s">
        <v>287</v>
      </c>
      <c r="B171" s="88" t="s">
        <v>353</v>
      </c>
      <c r="C171" s="88" t="s">
        <v>24</v>
      </c>
      <c r="D171" s="88" t="s">
        <v>43</v>
      </c>
      <c r="E171" s="88" t="s">
        <v>351</v>
      </c>
      <c r="F171" s="88" t="s">
        <v>387</v>
      </c>
      <c r="G171" s="88">
        <v>2015</v>
      </c>
      <c r="H171" s="88" t="s">
        <v>333</v>
      </c>
      <c r="I171" s="88" t="s">
        <v>1670</v>
      </c>
      <c r="J171" s="88" t="s">
        <v>351</v>
      </c>
      <c r="K171" s="92" t="s">
        <v>1671</v>
      </c>
      <c r="L171" s="93"/>
      <c r="M171" s="94" t="s">
        <v>2272</v>
      </c>
      <c r="N171" s="88" t="s">
        <v>79</v>
      </c>
      <c r="O171" s="88" t="s">
        <v>336</v>
      </c>
      <c r="P171" s="88" t="s">
        <v>134</v>
      </c>
      <c r="Q171" s="88" t="s">
        <v>139</v>
      </c>
      <c r="R171" s="88" t="s">
        <v>138</v>
      </c>
      <c r="S171" s="88" t="s">
        <v>331</v>
      </c>
      <c r="T171" s="88" t="s">
        <v>331</v>
      </c>
      <c r="U171" s="88" t="s">
        <v>130</v>
      </c>
      <c r="V171" s="88" t="s">
        <v>339</v>
      </c>
      <c r="W171" s="88" t="s">
        <v>339</v>
      </c>
      <c r="X171" s="88" t="s">
        <v>130</v>
      </c>
      <c r="Y171" s="88" t="s">
        <v>339</v>
      </c>
      <c r="Z171" s="88" t="s">
        <v>339</v>
      </c>
      <c r="AA171" s="95"/>
      <c r="AB171" s="88" t="s">
        <v>1672</v>
      </c>
      <c r="AC171" s="88" t="s">
        <v>1673</v>
      </c>
      <c r="AD171" s="88" t="s">
        <v>342</v>
      </c>
      <c r="AE171" s="88" t="s">
        <v>359</v>
      </c>
      <c r="AF171" s="88" t="s">
        <v>130</v>
      </c>
      <c r="AG171" s="88" t="s">
        <v>361</v>
      </c>
      <c r="AH171" s="88" t="s">
        <v>375</v>
      </c>
      <c r="AI171" s="88" t="s">
        <v>346</v>
      </c>
      <c r="AJ171" s="95"/>
      <c r="AK171" s="88" t="s">
        <v>339</v>
      </c>
      <c r="AL171" s="88" t="s">
        <v>339</v>
      </c>
      <c r="AM171" s="95"/>
      <c r="AN171" s="96" t="s">
        <v>1674</v>
      </c>
      <c r="AO171" s="84"/>
    </row>
    <row r="172" spans="1:41" s="85" customFormat="1" x14ac:dyDescent="0.25">
      <c r="A172" s="88" t="s">
        <v>287</v>
      </c>
      <c r="B172" s="88" t="s">
        <v>1675</v>
      </c>
      <c r="C172" s="88" t="s">
        <v>24</v>
      </c>
      <c r="D172" s="88" t="s">
        <v>43</v>
      </c>
      <c r="E172" s="88" t="s">
        <v>351</v>
      </c>
      <c r="F172" s="88" t="s">
        <v>352</v>
      </c>
      <c r="G172" s="88">
        <v>2015</v>
      </c>
      <c r="H172" s="88" t="s">
        <v>333</v>
      </c>
      <c r="I172" s="88" t="s">
        <v>1676</v>
      </c>
      <c r="J172" s="88" t="s">
        <v>351</v>
      </c>
      <c r="K172" s="92" t="s">
        <v>1676</v>
      </c>
      <c r="L172" s="93"/>
      <c r="M172" s="94" t="s">
        <v>2270</v>
      </c>
      <c r="N172" s="88" t="s">
        <v>476</v>
      </c>
      <c r="O172" s="88" t="s">
        <v>98</v>
      </c>
      <c r="P172" s="88" t="s">
        <v>602</v>
      </c>
      <c r="Q172" s="88" t="s">
        <v>139</v>
      </c>
      <c r="R172" s="88" t="s">
        <v>138</v>
      </c>
      <c r="S172" s="88" t="s">
        <v>331</v>
      </c>
      <c r="T172" s="88" t="s">
        <v>331</v>
      </c>
      <c r="U172" s="88" t="s">
        <v>130</v>
      </c>
      <c r="V172" s="88" t="s">
        <v>331</v>
      </c>
      <c r="W172" s="88" t="s">
        <v>339</v>
      </c>
      <c r="X172" s="88" t="s">
        <v>130</v>
      </c>
      <c r="Y172" s="88" t="s">
        <v>351</v>
      </c>
      <c r="Z172" s="88" t="s">
        <v>512</v>
      </c>
      <c r="AA172" s="95"/>
      <c r="AB172" s="88" t="s">
        <v>1677</v>
      </c>
      <c r="AC172" s="88" t="s">
        <v>1678</v>
      </c>
      <c r="AD172" s="88" t="s">
        <v>342</v>
      </c>
      <c r="AE172" s="88" t="s">
        <v>359</v>
      </c>
      <c r="AF172" s="88" t="s">
        <v>130</v>
      </c>
      <c r="AG172" s="88" t="s">
        <v>361</v>
      </c>
      <c r="AH172" s="88" t="s">
        <v>375</v>
      </c>
      <c r="AI172" s="88" t="s">
        <v>346</v>
      </c>
      <c r="AJ172" s="95"/>
      <c r="AK172" s="88" t="s">
        <v>339</v>
      </c>
      <c r="AL172" s="88" t="s">
        <v>339</v>
      </c>
      <c r="AM172" s="95"/>
      <c r="AN172" s="96" t="s">
        <v>1679</v>
      </c>
      <c r="AO172" s="84"/>
    </row>
    <row r="173" spans="1:41" s="85" customFormat="1" x14ac:dyDescent="0.25">
      <c r="A173" s="88" t="s">
        <v>287</v>
      </c>
      <c r="B173" s="88" t="s">
        <v>1680</v>
      </c>
      <c r="C173" s="88" t="s">
        <v>24</v>
      </c>
      <c r="D173" s="88" t="s">
        <v>43</v>
      </c>
      <c r="E173" s="88" t="s">
        <v>351</v>
      </c>
      <c r="F173" s="88" t="s">
        <v>352</v>
      </c>
      <c r="G173" s="88">
        <v>2020</v>
      </c>
      <c r="H173" s="88">
        <v>2020</v>
      </c>
      <c r="I173" s="88" t="s">
        <v>1681</v>
      </c>
      <c r="J173" s="88" t="s">
        <v>335</v>
      </c>
      <c r="K173" s="92" t="s">
        <v>1681</v>
      </c>
      <c r="L173" s="93"/>
      <c r="M173" s="94" t="s">
        <v>2272</v>
      </c>
      <c r="N173" s="88" t="s">
        <v>121</v>
      </c>
      <c r="O173" s="88" t="s">
        <v>116</v>
      </c>
      <c r="P173" s="88" t="s">
        <v>134</v>
      </c>
      <c r="Q173" s="88" t="s">
        <v>139</v>
      </c>
      <c r="R173" s="88" t="s">
        <v>138</v>
      </c>
      <c r="S173" s="88" t="s">
        <v>331</v>
      </c>
      <c r="T173" s="88" t="s">
        <v>351</v>
      </c>
      <c r="U173" s="88" t="s">
        <v>90</v>
      </c>
      <c r="V173" s="88" t="s">
        <v>331</v>
      </c>
      <c r="W173" s="88" t="s">
        <v>356</v>
      </c>
      <c r="X173" s="88" t="s">
        <v>356</v>
      </c>
      <c r="Y173" s="88" t="s">
        <v>331</v>
      </c>
      <c r="Z173" s="88" t="s">
        <v>130</v>
      </c>
      <c r="AA173" s="95"/>
      <c r="AB173" s="88" t="s">
        <v>1682</v>
      </c>
      <c r="AC173" s="88" t="s">
        <v>1683</v>
      </c>
      <c r="AD173" s="88" t="s">
        <v>342</v>
      </c>
      <c r="AE173" s="88" t="s">
        <v>359</v>
      </c>
      <c r="AF173" s="88" t="s">
        <v>130</v>
      </c>
      <c r="AG173" s="88" t="s">
        <v>361</v>
      </c>
      <c r="AH173" s="88" t="s">
        <v>375</v>
      </c>
      <c r="AI173" s="88" t="s">
        <v>346</v>
      </c>
      <c r="AJ173" s="95"/>
      <c r="AK173" s="88" t="s">
        <v>339</v>
      </c>
      <c r="AL173" s="88" t="s">
        <v>339</v>
      </c>
      <c r="AM173" s="95"/>
      <c r="AN173" s="96" t="s">
        <v>1684</v>
      </c>
      <c r="AO173" s="84"/>
    </row>
    <row r="174" spans="1:41" s="85" customFormat="1" x14ac:dyDescent="0.25">
      <c r="A174" s="88" t="s">
        <v>287</v>
      </c>
      <c r="B174" s="88" t="s">
        <v>1685</v>
      </c>
      <c r="C174" s="88" t="s">
        <v>24</v>
      </c>
      <c r="D174" s="88" t="s">
        <v>43</v>
      </c>
      <c r="E174" s="88" t="s">
        <v>351</v>
      </c>
      <c r="F174" s="88" t="s">
        <v>352</v>
      </c>
      <c r="G174" s="88">
        <v>2017</v>
      </c>
      <c r="H174" s="88">
        <v>2019</v>
      </c>
      <c r="I174" s="88" t="s">
        <v>1686</v>
      </c>
      <c r="J174" s="88" t="s">
        <v>351</v>
      </c>
      <c r="K174" s="92" t="s">
        <v>407</v>
      </c>
      <c r="L174" s="93"/>
      <c r="M174" s="94" t="s">
        <v>2270</v>
      </c>
      <c r="N174" s="88" t="s">
        <v>121</v>
      </c>
      <c r="O174" s="88" t="s">
        <v>1687</v>
      </c>
      <c r="P174" s="88" t="s">
        <v>134</v>
      </c>
      <c r="Q174" s="88" t="s">
        <v>139</v>
      </c>
      <c r="R174" s="88" t="s">
        <v>138</v>
      </c>
      <c r="S174" s="88" t="s">
        <v>331</v>
      </c>
      <c r="T174" s="88" t="s">
        <v>331</v>
      </c>
      <c r="U174" s="88" t="s">
        <v>130</v>
      </c>
      <c r="V174" s="88" t="s">
        <v>331</v>
      </c>
      <c r="W174" s="88" t="s">
        <v>351</v>
      </c>
      <c r="X174" s="88" t="s">
        <v>490</v>
      </c>
      <c r="Y174" s="88" t="s">
        <v>351</v>
      </c>
      <c r="Z174" s="88" t="s">
        <v>380</v>
      </c>
      <c r="AA174" s="95"/>
      <c r="AB174" s="88" t="s">
        <v>1688</v>
      </c>
      <c r="AC174" s="88" t="s">
        <v>1689</v>
      </c>
      <c r="AD174" s="88" t="s">
        <v>342</v>
      </c>
      <c r="AE174" s="88" t="s">
        <v>359</v>
      </c>
      <c r="AF174" s="88" t="s">
        <v>130</v>
      </c>
      <c r="AG174" s="88" t="s">
        <v>1690</v>
      </c>
      <c r="AH174" s="88" t="s">
        <v>375</v>
      </c>
      <c r="AI174" s="88" t="s">
        <v>346</v>
      </c>
      <c r="AJ174" s="95"/>
      <c r="AK174" s="88" t="s">
        <v>339</v>
      </c>
      <c r="AL174" s="88" t="s">
        <v>339</v>
      </c>
      <c r="AM174" s="95"/>
      <c r="AN174" s="96" t="s">
        <v>1691</v>
      </c>
      <c r="AO174" s="84"/>
    </row>
    <row r="175" spans="1:41" s="85" customFormat="1" x14ac:dyDescent="0.25">
      <c r="A175" s="88" t="s">
        <v>288</v>
      </c>
      <c r="B175" s="88" t="s">
        <v>1692</v>
      </c>
      <c r="C175" s="88" t="s">
        <v>197</v>
      </c>
      <c r="D175" s="88" t="s">
        <v>43</v>
      </c>
      <c r="E175" s="88" t="s">
        <v>351</v>
      </c>
      <c r="F175" s="88" t="s">
        <v>406</v>
      </c>
      <c r="G175" s="88">
        <v>2004</v>
      </c>
      <c r="H175" s="88" t="s">
        <v>333</v>
      </c>
      <c r="I175" s="88" t="s">
        <v>1693</v>
      </c>
      <c r="J175" s="88" t="s">
        <v>335</v>
      </c>
      <c r="K175" s="92" t="s">
        <v>1694</v>
      </c>
      <c r="L175" s="93"/>
      <c r="M175" s="94" t="s">
        <v>2248</v>
      </c>
      <c r="N175" s="88" t="s">
        <v>121</v>
      </c>
      <c r="O175" s="88" t="s">
        <v>92</v>
      </c>
      <c r="P175" s="88" t="s">
        <v>134</v>
      </c>
      <c r="Q175" s="88" t="s">
        <v>139</v>
      </c>
      <c r="R175" s="88" t="s">
        <v>138</v>
      </c>
      <c r="S175" s="88" t="s">
        <v>331</v>
      </c>
      <c r="T175" s="88" t="s">
        <v>331</v>
      </c>
      <c r="U175" s="88" t="s">
        <v>130</v>
      </c>
      <c r="V175" s="88" t="s">
        <v>339</v>
      </c>
      <c r="W175" s="88" t="s">
        <v>339</v>
      </c>
      <c r="X175" s="88" t="s">
        <v>130</v>
      </c>
      <c r="Y175" s="88" t="s">
        <v>339</v>
      </c>
      <c r="Z175" s="88" t="s">
        <v>339</v>
      </c>
      <c r="AA175" s="95"/>
      <c r="AB175" s="88" t="s">
        <v>1695</v>
      </c>
      <c r="AC175" s="88" t="s">
        <v>1696</v>
      </c>
      <c r="AD175" s="88" t="s">
        <v>342</v>
      </c>
      <c r="AE175" s="88" t="s">
        <v>359</v>
      </c>
      <c r="AF175" s="88" t="s">
        <v>1697</v>
      </c>
      <c r="AG175" s="88" t="s">
        <v>361</v>
      </c>
      <c r="AH175" s="88" t="s">
        <v>1698</v>
      </c>
      <c r="AI175" s="88" t="s">
        <v>346</v>
      </c>
      <c r="AJ175" s="95"/>
      <c r="AK175" s="88" t="s">
        <v>339</v>
      </c>
      <c r="AL175" s="88" t="s">
        <v>339</v>
      </c>
      <c r="AM175" s="95"/>
      <c r="AN175" s="96" t="s">
        <v>1699</v>
      </c>
      <c r="AO175" s="84"/>
    </row>
    <row r="176" spans="1:41" s="85" customFormat="1" x14ac:dyDescent="0.25">
      <c r="A176" s="88" t="s">
        <v>288</v>
      </c>
      <c r="B176" s="88" t="s">
        <v>1700</v>
      </c>
      <c r="C176" s="88" t="s">
        <v>197</v>
      </c>
      <c r="D176" s="88" t="s">
        <v>43</v>
      </c>
      <c r="E176" s="88" t="s">
        <v>351</v>
      </c>
      <c r="F176" s="88" t="s">
        <v>406</v>
      </c>
      <c r="G176" s="101" t="s">
        <v>1701</v>
      </c>
      <c r="H176" s="88" t="s">
        <v>333</v>
      </c>
      <c r="I176" s="88" t="s">
        <v>1702</v>
      </c>
      <c r="J176" s="88" t="s">
        <v>335</v>
      </c>
      <c r="K176" s="92" t="s">
        <v>1703</v>
      </c>
      <c r="L176" s="93"/>
      <c r="M176" s="94" t="s">
        <v>2270</v>
      </c>
      <c r="N176" s="88" t="s">
        <v>424</v>
      </c>
      <c r="O176" s="88" t="s">
        <v>122</v>
      </c>
      <c r="P176" s="88" t="s">
        <v>134</v>
      </c>
      <c r="Q176" s="88" t="s">
        <v>139</v>
      </c>
      <c r="R176" s="88" t="s">
        <v>138</v>
      </c>
      <c r="S176" s="88" t="s">
        <v>331</v>
      </c>
      <c r="T176" s="88" t="s">
        <v>331</v>
      </c>
      <c r="U176" s="88" t="s">
        <v>130</v>
      </c>
      <c r="V176" s="88" t="s">
        <v>331</v>
      </c>
      <c r="W176" s="88" t="s">
        <v>351</v>
      </c>
      <c r="X176" s="88" t="s">
        <v>490</v>
      </c>
      <c r="Y176" s="88" t="s">
        <v>331</v>
      </c>
      <c r="Z176" s="88" t="s">
        <v>512</v>
      </c>
      <c r="AA176" s="95"/>
      <c r="AB176" s="88" t="s">
        <v>1704</v>
      </c>
      <c r="AC176" s="88" t="s">
        <v>1705</v>
      </c>
      <c r="AD176" s="88" t="s">
        <v>342</v>
      </c>
      <c r="AE176" s="88" t="s">
        <v>359</v>
      </c>
      <c r="AF176" s="88" t="s">
        <v>130</v>
      </c>
      <c r="AG176" s="88" t="s">
        <v>1706</v>
      </c>
      <c r="AH176" s="88" t="s">
        <v>375</v>
      </c>
      <c r="AI176" s="88" t="s">
        <v>346</v>
      </c>
      <c r="AJ176" s="95"/>
      <c r="AK176" s="88" t="s">
        <v>339</v>
      </c>
      <c r="AL176" s="88" t="s">
        <v>339</v>
      </c>
      <c r="AM176" s="95"/>
      <c r="AN176" s="96" t="s">
        <v>1707</v>
      </c>
      <c r="AO176" s="84"/>
    </row>
    <row r="177" spans="1:41" s="85" customFormat="1" x14ac:dyDescent="0.25">
      <c r="A177" s="88" t="s">
        <v>288</v>
      </c>
      <c r="B177" s="88" t="s">
        <v>1708</v>
      </c>
      <c r="C177" s="88" t="s">
        <v>197</v>
      </c>
      <c r="D177" s="88" t="s">
        <v>43</v>
      </c>
      <c r="E177" s="88" t="s">
        <v>351</v>
      </c>
      <c r="F177" s="88" t="s">
        <v>406</v>
      </c>
      <c r="G177" s="88" t="s">
        <v>416</v>
      </c>
      <c r="H177" s="88" t="s">
        <v>333</v>
      </c>
      <c r="I177" s="88" t="s">
        <v>838</v>
      </c>
      <c r="J177" s="88" t="s">
        <v>335</v>
      </c>
      <c r="K177" s="92" t="s">
        <v>407</v>
      </c>
      <c r="L177" s="93"/>
      <c r="M177" s="94" t="s">
        <v>2248</v>
      </c>
      <c r="N177" s="88" t="s">
        <v>460</v>
      </c>
      <c r="O177" s="88" t="s">
        <v>98</v>
      </c>
      <c r="P177" s="88" t="s">
        <v>134</v>
      </c>
      <c r="Q177" s="88" t="s">
        <v>139</v>
      </c>
      <c r="R177" s="88" t="s">
        <v>138</v>
      </c>
      <c r="S177" s="88" t="s">
        <v>331</v>
      </c>
      <c r="T177" s="88" t="s">
        <v>331</v>
      </c>
      <c r="U177" s="88" t="s">
        <v>130</v>
      </c>
      <c r="V177" s="88" t="s">
        <v>339</v>
      </c>
      <c r="W177" s="88" t="s">
        <v>339</v>
      </c>
      <c r="X177" s="88" t="s">
        <v>130</v>
      </c>
      <c r="Y177" s="88" t="s">
        <v>339</v>
      </c>
      <c r="Z177" s="88" t="s">
        <v>339</v>
      </c>
      <c r="AA177" s="95"/>
      <c r="AB177" s="88" t="s">
        <v>1709</v>
      </c>
      <c r="AC177" s="88" t="s">
        <v>1710</v>
      </c>
      <c r="AD177" s="88" t="s">
        <v>342</v>
      </c>
      <c r="AE177" s="88" t="s">
        <v>359</v>
      </c>
      <c r="AF177" s="88" t="s">
        <v>1711</v>
      </c>
      <c r="AG177" s="88" t="s">
        <v>361</v>
      </c>
      <c r="AH177" s="88" t="s">
        <v>1712</v>
      </c>
      <c r="AI177" s="88" t="s">
        <v>346</v>
      </c>
      <c r="AJ177" s="95"/>
      <c r="AK177" s="88" t="s">
        <v>339</v>
      </c>
      <c r="AL177" s="88" t="s">
        <v>339</v>
      </c>
      <c r="AM177" s="95"/>
      <c r="AN177" s="96" t="s">
        <v>1713</v>
      </c>
      <c r="AO177" s="84"/>
    </row>
    <row r="178" spans="1:41" s="85" customFormat="1" x14ac:dyDescent="0.25">
      <c r="A178" s="88" t="s">
        <v>288</v>
      </c>
      <c r="B178" s="88" t="s">
        <v>1714</v>
      </c>
      <c r="C178" s="88" t="s">
        <v>197</v>
      </c>
      <c r="D178" s="88" t="s">
        <v>43</v>
      </c>
      <c r="E178" s="88" t="s">
        <v>351</v>
      </c>
      <c r="F178" s="88" t="s">
        <v>406</v>
      </c>
      <c r="G178" s="101" t="s">
        <v>1715</v>
      </c>
      <c r="H178" s="88" t="s">
        <v>333</v>
      </c>
      <c r="I178" s="88" t="s">
        <v>353</v>
      </c>
      <c r="J178" s="88" t="s">
        <v>335</v>
      </c>
      <c r="K178" s="92" t="s">
        <v>1716</v>
      </c>
      <c r="L178" s="93"/>
      <c r="M178" s="94" t="s">
        <v>2272</v>
      </c>
      <c r="N178" s="88" t="s">
        <v>121</v>
      </c>
      <c r="O178" s="88" t="s">
        <v>1717</v>
      </c>
      <c r="P178" s="88" t="s">
        <v>134</v>
      </c>
      <c r="Q178" s="88" t="s">
        <v>139</v>
      </c>
      <c r="R178" s="88" t="s">
        <v>138</v>
      </c>
      <c r="S178" s="88" t="s">
        <v>1708</v>
      </c>
      <c r="T178" s="88" t="s">
        <v>331</v>
      </c>
      <c r="U178" s="88" t="s">
        <v>130</v>
      </c>
      <c r="V178" s="88" t="s">
        <v>339</v>
      </c>
      <c r="W178" s="88" t="s">
        <v>339</v>
      </c>
      <c r="X178" s="88" t="s">
        <v>130</v>
      </c>
      <c r="Y178" s="88" t="s">
        <v>339</v>
      </c>
      <c r="Z178" s="88" t="s">
        <v>339</v>
      </c>
      <c r="AA178" s="95"/>
      <c r="AB178" s="88" t="s">
        <v>1718</v>
      </c>
      <c r="AC178" s="88" t="s">
        <v>1719</v>
      </c>
      <c r="AD178" s="88" t="s">
        <v>342</v>
      </c>
      <c r="AE178" s="88" t="s">
        <v>359</v>
      </c>
      <c r="AF178" s="88" t="s">
        <v>130</v>
      </c>
      <c r="AG178" s="88" t="s">
        <v>361</v>
      </c>
      <c r="AH178" s="88" t="s">
        <v>375</v>
      </c>
      <c r="AI178" s="88" t="s">
        <v>346</v>
      </c>
      <c r="AJ178" s="95"/>
      <c r="AK178" s="88" t="s">
        <v>339</v>
      </c>
      <c r="AL178" s="88" t="s">
        <v>339</v>
      </c>
      <c r="AM178" s="95"/>
      <c r="AN178" s="96" t="s">
        <v>1720</v>
      </c>
      <c r="AO178" s="84"/>
    </row>
    <row r="179" spans="1:41" s="85" customFormat="1" x14ac:dyDescent="0.25">
      <c r="A179" s="88" t="s">
        <v>288</v>
      </c>
      <c r="B179" s="88" t="s">
        <v>1721</v>
      </c>
      <c r="C179" s="88" t="s">
        <v>197</v>
      </c>
      <c r="D179" s="88" t="s">
        <v>43</v>
      </c>
      <c r="E179" s="88" t="s">
        <v>351</v>
      </c>
      <c r="F179" s="88" t="s">
        <v>406</v>
      </c>
      <c r="G179" s="88" t="s">
        <v>416</v>
      </c>
      <c r="H179" s="88" t="s">
        <v>333</v>
      </c>
      <c r="I179" s="88" t="s">
        <v>353</v>
      </c>
      <c r="J179" s="88" t="s">
        <v>351</v>
      </c>
      <c r="K179" s="92" t="s">
        <v>407</v>
      </c>
      <c r="L179" s="93"/>
      <c r="M179" s="94" t="s">
        <v>2248</v>
      </c>
      <c r="N179" s="88" t="s">
        <v>121</v>
      </c>
      <c r="O179" s="88" t="s">
        <v>1717</v>
      </c>
      <c r="P179" s="88" t="s">
        <v>353</v>
      </c>
      <c r="Q179" s="88" t="s">
        <v>353</v>
      </c>
      <c r="R179" s="88" t="s">
        <v>353</v>
      </c>
      <c r="S179" s="88" t="s">
        <v>1708</v>
      </c>
      <c r="T179" s="88" t="s">
        <v>331</v>
      </c>
      <c r="U179" s="88" t="s">
        <v>130</v>
      </c>
      <c r="V179" s="88" t="s">
        <v>339</v>
      </c>
      <c r="W179" s="88" t="s">
        <v>339</v>
      </c>
      <c r="X179" s="88" t="s">
        <v>130</v>
      </c>
      <c r="Y179" s="88" t="s">
        <v>339</v>
      </c>
      <c r="Z179" s="88" t="s">
        <v>339</v>
      </c>
      <c r="AA179" s="95"/>
      <c r="AB179" s="88" t="s">
        <v>1718</v>
      </c>
      <c r="AC179" s="88" t="s">
        <v>1722</v>
      </c>
      <c r="AD179" s="88" t="s">
        <v>342</v>
      </c>
      <c r="AE179" s="88" t="s">
        <v>359</v>
      </c>
      <c r="AF179" s="88" t="s">
        <v>130</v>
      </c>
      <c r="AG179" s="88" t="s">
        <v>361</v>
      </c>
      <c r="AH179" s="88" t="s">
        <v>375</v>
      </c>
      <c r="AI179" s="88" t="s">
        <v>346</v>
      </c>
      <c r="AJ179" s="95"/>
      <c r="AK179" s="88" t="s">
        <v>339</v>
      </c>
      <c r="AL179" s="88" t="s">
        <v>339</v>
      </c>
      <c r="AM179" s="95"/>
      <c r="AN179" s="88" t="s">
        <v>1723</v>
      </c>
      <c r="AO179" s="84"/>
    </row>
    <row r="180" spans="1:41" s="85" customFormat="1" x14ac:dyDescent="0.25">
      <c r="A180" s="88" t="s">
        <v>288</v>
      </c>
      <c r="B180" s="88" t="s">
        <v>1724</v>
      </c>
      <c r="C180" s="88" t="s">
        <v>197</v>
      </c>
      <c r="D180" s="88" t="s">
        <v>43</v>
      </c>
      <c r="E180" s="88" t="s">
        <v>351</v>
      </c>
      <c r="F180" s="88" t="s">
        <v>406</v>
      </c>
      <c r="G180" s="88" t="s">
        <v>416</v>
      </c>
      <c r="H180" s="88" t="s">
        <v>333</v>
      </c>
      <c r="I180" s="88" t="s">
        <v>353</v>
      </c>
      <c r="J180" s="88" t="s">
        <v>351</v>
      </c>
      <c r="K180" s="92" t="s">
        <v>407</v>
      </c>
      <c r="L180" s="93"/>
      <c r="M180" s="94" t="s">
        <v>2272</v>
      </c>
      <c r="N180" s="88" t="s">
        <v>121</v>
      </c>
      <c r="O180" s="88" t="s">
        <v>1717</v>
      </c>
      <c r="P180" s="88" t="s">
        <v>81</v>
      </c>
      <c r="Q180" s="88" t="s">
        <v>139</v>
      </c>
      <c r="R180" s="88" t="s">
        <v>138</v>
      </c>
      <c r="S180" s="88" t="s">
        <v>1708</v>
      </c>
      <c r="T180" s="88" t="s">
        <v>331</v>
      </c>
      <c r="U180" s="88" t="s">
        <v>130</v>
      </c>
      <c r="V180" s="88" t="s">
        <v>339</v>
      </c>
      <c r="W180" s="88" t="s">
        <v>339</v>
      </c>
      <c r="X180" s="88" t="s">
        <v>130</v>
      </c>
      <c r="Y180" s="88" t="s">
        <v>339</v>
      </c>
      <c r="Z180" s="88" t="s">
        <v>339</v>
      </c>
      <c r="AA180" s="95"/>
      <c r="AB180" s="88" t="s">
        <v>1725</v>
      </c>
      <c r="AC180" s="88" t="s">
        <v>1722</v>
      </c>
      <c r="AD180" s="88" t="s">
        <v>353</v>
      </c>
      <c r="AE180" s="88" t="s">
        <v>359</v>
      </c>
      <c r="AF180" s="88" t="s">
        <v>130</v>
      </c>
      <c r="AG180" s="88" t="s">
        <v>361</v>
      </c>
      <c r="AH180" s="88" t="s">
        <v>353</v>
      </c>
      <c r="AI180" s="88" t="s">
        <v>353</v>
      </c>
      <c r="AJ180" s="95"/>
      <c r="AK180" s="88" t="s">
        <v>339</v>
      </c>
      <c r="AL180" s="88" t="s">
        <v>339</v>
      </c>
      <c r="AM180" s="95"/>
      <c r="AN180" s="96" t="s">
        <v>1726</v>
      </c>
      <c r="AO180" s="84"/>
    </row>
    <row r="181" spans="1:41" s="85" customFormat="1" x14ac:dyDescent="0.25">
      <c r="A181" s="88" t="s">
        <v>288</v>
      </c>
      <c r="B181" s="88" t="s">
        <v>1727</v>
      </c>
      <c r="C181" s="88" t="s">
        <v>197</v>
      </c>
      <c r="D181" s="88" t="s">
        <v>43</v>
      </c>
      <c r="E181" s="88" t="s">
        <v>351</v>
      </c>
      <c r="F181" s="88" t="s">
        <v>406</v>
      </c>
      <c r="G181" s="88">
        <v>2020</v>
      </c>
      <c r="H181" s="88" t="s">
        <v>333</v>
      </c>
      <c r="I181" s="88" t="s">
        <v>353</v>
      </c>
      <c r="J181" s="88" t="s">
        <v>335</v>
      </c>
      <c r="K181" s="92" t="s">
        <v>407</v>
      </c>
      <c r="L181" s="93"/>
      <c r="M181" s="94" t="s">
        <v>2272</v>
      </c>
      <c r="N181" s="88" t="s">
        <v>353</v>
      </c>
      <c r="O181" s="88" t="s">
        <v>353</v>
      </c>
      <c r="P181" s="88" t="s">
        <v>353</v>
      </c>
      <c r="Q181" s="88" t="s">
        <v>353</v>
      </c>
      <c r="R181" s="88" t="s">
        <v>353</v>
      </c>
      <c r="S181" s="88" t="s">
        <v>1708</v>
      </c>
      <c r="T181" s="88" t="s">
        <v>351</v>
      </c>
      <c r="U181" s="88" t="s">
        <v>353</v>
      </c>
      <c r="V181" s="88" t="s">
        <v>339</v>
      </c>
      <c r="W181" s="88" t="s">
        <v>339</v>
      </c>
      <c r="X181" s="88" t="s">
        <v>130</v>
      </c>
      <c r="Y181" s="88" t="s">
        <v>339</v>
      </c>
      <c r="Z181" s="88" t="s">
        <v>339</v>
      </c>
      <c r="AA181" s="95"/>
      <c r="AB181" s="88" t="s">
        <v>1728</v>
      </c>
      <c r="AC181" s="88" t="s">
        <v>353</v>
      </c>
      <c r="AD181" s="88" t="s">
        <v>353</v>
      </c>
      <c r="AE181" s="88" t="s">
        <v>359</v>
      </c>
      <c r="AF181" s="88" t="s">
        <v>130</v>
      </c>
      <c r="AG181" s="88" t="s">
        <v>361</v>
      </c>
      <c r="AH181" s="88" t="s">
        <v>353</v>
      </c>
      <c r="AI181" s="88" t="s">
        <v>353</v>
      </c>
      <c r="AJ181" s="95"/>
      <c r="AK181" s="88" t="s">
        <v>339</v>
      </c>
      <c r="AL181" s="88" t="s">
        <v>339</v>
      </c>
      <c r="AM181" s="95"/>
      <c r="AN181" s="96" t="s">
        <v>1729</v>
      </c>
      <c r="AO181" s="84"/>
    </row>
    <row r="182" spans="1:41" s="85" customFormat="1" x14ac:dyDescent="0.25">
      <c r="A182" s="88" t="s">
        <v>288</v>
      </c>
      <c r="B182" s="88" t="s">
        <v>1730</v>
      </c>
      <c r="C182" s="88" t="s">
        <v>197</v>
      </c>
      <c r="D182" s="88" t="s">
        <v>43</v>
      </c>
      <c r="E182" s="88" t="s">
        <v>351</v>
      </c>
      <c r="F182" s="88" t="s">
        <v>406</v>
      </c>
      <c r="G182" s="101" t="s">
        <v>1731</v>
      </c>
      <c r="H182" s="88" t="s">
        <v>333</v>
      </c>
      <c r="I182" s="88" t="s">
        <v>353</v>
      </c>
      <c r="J182" s="88" t="s">
        <v>335</v>
      </c>
      <c r="K182" s="92" t="s">
        <v>407</v>
      </c>
      <c r="L182" s="93"/>
      <c r="M182" s="94" t="s">
        <v>2248</v>
      </c>
      <c r="N182" s="88" t="s">
        <v>609</v>
      </c>
      <c r="O182" s="88" t="s">
        <v>336</v>
      </c>
      <c r="P182" s="88" t="s">
        <v>134</v>
      </c>
      <c r="Q182" s="88" t="s">
        <v>139</v>
      </c>
      <c r="R182" s="88" t="s">
        <v>138</v>
      </c>
      <c r="S182" s="88" t="s">
        <v>331</v>
      </c>
      <c r="T182" s="88" t="s">
        <v>331</v>
      </c>
      <c r="U182" s="88" t="s">
        <v>130</v>
      </c>
      <c r="V182" s="88" t="s">
        <v>331</v>
      </c>
      <c r="W182" s="88" t="s">
        <v>339</v>
      </c>
      <c r="X182" s="88" t="s">
        <v>130</v>
      </c>
      <c r="Y182" s="88" t="s">
        <v>339</v>
      </c>
      <c r="Z182" s="88" t="s">
        <v>339</v>
      </c>
      <c r="AA182" s="95"/>
      <c r="AB182" s="88" t="s">
        <v>1732</v>
      </c>
      <c r="AC182" s="88" t="s">
        <v>1733</v>
      </c>
      <c r="AD182" s="88" t="s">
        <v>342</v>
      </c>
      <c r="AE182" s="88" t="s">
        <v>394</v>
      </c>
      <c r="AF182" s="88" t="s">
        <v>130</v>
      </c>
      <c r="AG182" s="88" t="s">
        <v>361</v>
      </c>
      <c r="AH182" s="88" t="s">
        <v>1734</v>
      </c>
      <c r="AI182" s="88" t="s">
        <v>346</v>
      </c>
      <c r="AJ182" s="95"/>
      <c r="AK182" s="88" t="s">
        <v>1735</v>
      </c>
      <c r="AL182" s="88" t="s">
        <v>1736</v>
      </c>
      <c r="AM182" s="95"/>
      <c r="AN182" s="96" t="s">
        <v>1737</v>
      </c>
      <c r="AO182" s="84"/>
    </row>
    <row r="183" spans="1:41" s="85" customFormat="1" x14ac:dyDescent="0.25">
      <c r="A183" s="88" t="s">
        <v>288</v>
      </c>
      <c r="B183" s="88" t="s">
        <v>1738</v>
      </c>
      <c r="C183" s="88" t="s">
        <v>197</v>
      </c>
      <c r="D183" s="88" t="s">
        <v>43</v>
      </c>
      <c r="E183" s="88" t="s">
        <v>351</v>
      </c>
      <c r="F183" s="88" t="s">
        <v>399</v>
      </c>
      <c r="G183" s="88">
        <v>2004</v>
      </c>
      <c r="H183" s="88" t="s">
        <v>333</v>
      </c>
      <c r="I183" s="88" t="s">
        <v>353</v>
      </c>
      <c r="J183" s="88" t="s">
        <v>335</v>
      </c>
      <c r="K183" s="92" t="s">
        <v>1739</v>
      </c>
      <c r="L183" s="93"/>
      <c r="M183" s="119" t="s">
        <v>2272</v>
      </c>
      <c r="N183" s="88" t="s">
        <v>121</v>
      </c>
      <c r="O183" s="88" t="s">
        <v>98</v>
      </c>
      <c r="P183" s="88" t="s">
        <v>134</v>
      </c>
      <c r="Q183" s="88" t="s">
        <v>139</v>
      </c>
      <c r="R183" s="88" t="s">
        <v>138</v>
      </c>
      <c r="S183" s="88" t="s">
        <v>331</v>
      </c>
      <c r="T183" s="88" t="s">
        <v>331</v>
      </c>
      <c r="U183" s="88" t="s">
        <v>130</v>
      </c>
      <c r="V183" s="88" t="s">
        <v>331</v>
      </c>
      <c r="W183" s="88" t="s">
        <v>351</v>
      </c>
      <c r="X183" s="88" t="s">
        <v>425</v>
      </c>
      <c r="Y183" s="88" t="s">
        <v>351</v>
      </c>
      <c r="Z183" s="88" t="s">
        <v>339</v>
      </c>
      <c r="AA183" s="95"/>
      <c r="AB183" s="88" t="s">
        <v>1740</v>
      </c>
      <c r="AC183" s="88" t="s">
        <v>1741</v>
      </c>
      <c r="AD183" s="88" t="s">
        <v>529</v>
      </c>
      <c r="AE183" s="88" t="s">
        <v>359</v>
      </c>
      <c r="AF183" s="88" t="s">
        <v>130</v>
      </c>
      <c r="AG183" s="88" t="s">
        <v>1742</v>
      </c>
      <c r="AH183" s="88" t="s">
        <v>375</v>
      </c>
      <c r="AI183" s="88" t="s">
        <v>346</v>
      </c>
      <c r="AJ183" s="95"/>
      <c r="AK183" s="88" t="s">
        <v>1743</v>
      </c>
      <c r="AL183" s="88" t="s">
        <v>1744</v>
      </c>
      <c r="AM183" s="95"/>
      <c r="AN183" s="88" t="s">
        <v>1745</v>
      </c>
      <c r="AO183" s="84"/>
    </row>
    <row r="184" spans="1:41" s="85" customFormat="1" x14ac:dyDescent="0.25">
      <c r="A184" s="88" t="s">
        <v>288</v>
      </c>
      <c r="B184" s="88" t="s">
        <v>1746</v>
      </c>
      <c r="C184" s="88" t="s">
        <v>197</v>
      </c>
      <c r="D184" s="88" t="s">
        <v>43</v>
      </c>
      <c r="E184" s="88" t="s">
        <v>351</v>
      </c>
      <c r="F184" s="88" t="s">
        <v>406</v>
      </c>
      <c r="G184" s="88">
        <v>2020</v>
      </c>
      <c r="H184" s="88" t="s">
        <v>333</v>
      </c>
      <c r="I184" s="88" t="s">
        <v>1747</v>
      </c>
      <c r="J184" s="88" t="s">
        <v>335</v>
      </c>
      <c r="K184" s="92" t="s">
        <v>1748</v>
      </c>
      <c r="L184" s="93"/>
      <c r="M184" s="94" t="s">
        <v>2248</v>
      </c>
      <c r="N184" s="88" t="s">
        <v>73</v>
      </c>
      <c r="O184" s="88" t="s">
        <v>336</v>
      </c>
      <c r="P184" s="88" t="s">
        <v>1749</v>
      </c>
      <c r="Q184" s="88" t="s">
        <v>139</v>
      </c>
      <c r="R184" s="88" t="s">
        <v>138</v>
      </c>
      <c r="S184" s="88" t="s">
        <v>331</v>
      </c>
      <c r="T184" s="88" t="s">
        <v>351</v>
      </c>
      <c r="U184" s="88" t="s">
        <v>90</v>
      </c>
      <c r="V184" s="88" t="s">
        <v>331</v>
      </c>
      <c r="W184" s="88" t="s">
        <v>351</v>
      </c>
      <c r="X184" s="88" t="s">
        <v>490</v>
      </c>
      <c r="Y184" s="88" t="s">
        <v>339</v>
      </c>
      <c r="Z184" s="88" t="s">
        <v>339</v>
      </c>
      <c r="AA184" s="95"/>
      <c r="AB184" s="88" t="s">
        <v>1750</v>
      </c>
      <c r="AC184" s="88" t="s">
        <v>1751</v>
      </c>
      <c r="AD184" s="88" t="s">
        <v>529</v>
      </c>
      <c r="AE184" s="88" t="s">
        <v>359</v>
      </c>
      <c r="AF184" s="88" t="s">
        <v>130</v>
      </c>
      <c r="AG184" s="103" t="s">
        <v>1752</v>
      </c>
      <c r="AH184" s="88" t="s">
        <v>375</v>
      </c>
      <c r="AI184" s="88" t="s">
        <v>346</v>
      </c>
      <c r="AJ184" s="95"/>
      <c r="AK184" s="88" t="s">
        <v>339</v>
      </c>
      <c r="AL184" s="88" t="s">
        <v>339</v>
      </c>
      <c r="AM184" s="95"/>
      <c r="AN184" s="96" t="s">
        <v>1753</v>
      </c>
      <c r="AO184" s="84"/>
    </row>
    <row r="185" spans="1:41" s="85" customFormat="1" x14ac:dyDescent="0.25">
      <c r="A185" s="88" t="s">
        <v>289</v>
      </c>
      <c r="B185" s="88" t="s">
        <v>1754</v>
      </c>
      <c r="C185" s="88" t="s">
        <v>252</v>
      </c>
      <c r="D185" s="88" t="s">
        <v>25</v>
      </c>
      <c r="E185" s="88" t="s">
        <v>351</v>
      </c>
      <c r="F185" s="88" t="s">
        <v>332</v>
      </c>
      <c r="G185" s="108">
        <v>2017</v>
      </c>
      <c r="H185" s="88">
        <v>2021</v>
      </c>
      <c r="I185" s="88" t="s">
        <v>1755</v>
      </c>
      <c r="J185" s="88" t="s">
        <v>335</v>
      </c>
      <c r="K185" s="92" t="s">
        <v>1756</v>
      </c>
      <c r="L185" s="93"/>
      <c r="M185" s="94" t="s">
        <v>2272</v>
      </c>
      <c r="N185" s="88" t="s">
        <v>91</v>
      </c>
      <c r="O185" s="88" t="s">
        <v>336</v>
      </c>
      <c r="P185" s="88" t="s">
        <v>117</v>
      </c>
      <c r="Q185" s="88" t="s">
        <v>139</v>
      </c>
      <c r="R185" s="88" t="s">
        <v>138</v>
      </c>
      <c r="S185" s="88" t="s">
        <v>331</v>
      </c>
      <c r="T185" s="88" t="s">
        <v>331</v>
      </c>
      <c r="U185" s="88" t="s">
        <v>130</v>
      </c>
      <c r="V185" s="88" t="s">
        <v>331</v>
      </c>
      <c r="W185" s="88" t="s">
        <v>356</v>
      </c>
      <c r="X185" s="88" t="s">
        <v>130</v>
      </c>
      <c r="Y185" s="88" t="s">
        <v>331</v>
      </c>
      <c r="Z185" s="88" t="s">
        <v>512</v>
      </c>
      <c r="AA185" s="95"/>
      <c r="AB185" s="88" t="s">
        <v>1757</v>
      </c>
      <c r="AC185" s="88" t="s">
        <v>1758</v>
      </c>
      <c r="AD185" s="88" t="s">
        <v>342</v>
      </c>
      <c r="AE185" s="88" t="s">
        <v>394</v>
      </c>
      <c r="AF185" s="88" t="s">
        <v>130</v>
      </c>
      <c r="AG185" s="88" t="s">
        <v>361</v>
      </c>
      <c r="AH185" s="88" t="s">
        <v>1759</v>
      </c>
      <c r="AI185" s="88" t="s">
        <v>346</v>
      </c>
      <c r="AJ185" s="95"/>
      <c r="AK185" s="88" t="s">
        <v>1760</v>
      </c>
      <c r="AL185" s="88" t="s">
        <v>1761</v>
      </c>
      <c r="AM185" s="95"/>
      <c r="AN185" s="96" t="s">
        <v>1762</v>
      </c>
      <c r="AO185" s="84"/>
    </row>
    <row r="186" spans="1:41" s="85" customFormat="1" x14ac:dyDescent="0.25">
      <c r="A186" s="88" t="s">
        <v>289</v>
      </c>
      <c r="B186" s="88" t="s">
        <v>1763</v>
      </c>
      <c r="C186" s="88" t="s">
        <v>252</v>
      </c>
      <c r="D186" s="88" t="s">
        <v>25</v>
      </c>
      <c r="E186" s="88" t="s">
        <v>351</v>
      </c>
      <c r="F186" s="88" t="s">
        <v>332</v>
      </c>
      <c r="G186" s="88">
        <v>2014</v>
      </c>
      <c r="H186" s="101" t="s">
        <v>1764</v>
      </c>
      <c r="I186" s="88" t="s">
        <v>1765</v>
      </c>
      <c r="J186" s="88" t="s">
        <v>335</v>
      </c>
      <c r="K186" s="92" t="s">
        <v>1766</v>
      </c>
      <c r="L186" s="93"/>
      <c r="M186" s="94" t="s">
        <v>2248</v>
      </c>
      <c r="N186" s="88" t="s">
        <v>79</v>
      </c>
      <c r="O186" s="88" t="s">
        <v>336</v>
      </c>
      <c r="P186" s="88" t="s">
        <v>134</v>
      </c>
      <c r="Q186" s="88" t="s">
        <v>139</v>
      </c>
      <c r="R186" s="88" t="s">
        <v>138</v>
      </c>
      <c r="S186" s="88" t="s">
        <v>331</v>
      </c>
      <c r="T186" s="88" t="s">
        <v>331</v>
      </c>
      <c r="U186" s="88" t="s">
        <v>130</v>
      </c>
      <c r="V186" s="88" t="s">
        <v>331</v>
      </c>
      <c r="W186" s="88" t="s">
        <v>356</v>
      </c>
      <c r="X186" s="88" t="s">
        <v>130</v>
      </c>
      <c r="Y186" s="88" t="s">
        <v>339</v>
      </c>
      <c r="Z186" s="88" t="s">
        <v>512</v>
      </c>
      <c r="AA186" s="95"/>
      <c r="AB186" s="88" t="s">
        <v>1767</v>
      </c>
      <c r="AC186" s="88" t="s">
        <v>1768</v>
      </c>
      <c r="AD186" s="88" t="s">
        <v>342</v>
      </c>
      <c r="AE186" s="88" t="s">
        <v>394</v>
      </c>
      <c r="AF186" s="88" t="s">
        <v>130</v>
      </c>
      <c r="AG186" s="88" t="s">
        <v>353</v>
      </c>
      <c r="AH186" s="88" t="s">
        <v>1769</v>
      </c>
      <c r="AI186" s="88" t="s">
        <v>346</v>
      </c>
      <c r="AJ186" s="95"/>
      <c r="AK186" s="88" t="s">
        <v>1770</v>
      </c>
      <c r="AL186" s="88" t="s">
        <v>339</v>
      </c>
      <c r="AM186" s="95"/>
      <c r="AN186" s="88" t="s">
        <v>1771</v>
      </c>
      <c r="AO186" s="84"/>
    </row>
    <row r="187" spans="1:41" s="85" customFormat="1" x14ac:dyDescent="0.25">
      <c r="A187" s="88" t="s">
        <v>289</v>
      </c>
      <c r="B187" s="88" t="s">
        <v>1772</v>
      </c>
      <c r="C187" s="88" t="s">
        <v>252</v>
      </c>
      <c r="D187" s="88" t="s">
        <v>25</v>
      </c>
      <c r="E187" s="88" t="s">
        <v>351</v>
      </c>
      <c r="F187" s="88" t="s">
        <v>332</v>
      </c>
      <c r="G187" s="88">
        <v>2014</v>
      </c>
      <c r="H187" s="88" t="s">
        <v>333</v>
      </c>
      <c r="I187" s="88" t="s">
        <v>1773</v>
      </c>
      <c r="J187" s="88" t="s">
        <v>335</v>
      </c>
      <c r="K187" s="92" t="s">
        <v>1774</v>
      </c>
      <c r="L187" s="93"/>
      <c r="M187" s="94" t="s">
        <v>2272</v>
      </c>
      <c r="N187" s="88" t="s">
        <v>73</v>
      </c>
      <c r="O187" s="88" t="s">
        <v>336</v>
      </c>
      <c r="P187" s="88" t="s">
        <v>117</v>
      </c>
      <c r="Q187" s="88" t="s">
        <v>124</v>
      </c>
      <c r="R187" s="88" t="s">
        <v>77</v>
      </c>
      <c r="S187" s="88" t="s">
        <v>331</v>
      </c>
      <c r="T187" s="88" t="s">
        <v>331</v>
      </c>
      <c r="U187" s="88" t="s">
        <v>130</v>
      </c>
      <c r="V187" s="88" t="s">
        <v>339</v>
      </c>
      <c r="W187" s="88" t="s">
        <v>339</v>
      </c>
      <c r="X187" s="88" t="s">
        <v>130</v>
      </c>
      <c r="Y187" s="88" t="s">
        <v>339</v>
      </c>
      <c r="Z187" s="88" t="s">
        <v>339</v>
      </c>
      <c r="AA187" s="95"/>
      <c r="AB187" s="88" t="s">
        <v>1775</v>
      </c>
      <c r="AC187" s="88" t="s">
        <v>1776</v>
      </c>
      <c r="AD187" s="88" t="s">
        <v>342</v>
      </c>
      <c r="AE187" s="88" t="s">
        <v>394</v>
      </c>
      <c r="AF187" s="88" t="s">
        <v>130</v>
      </c>
      <c r="AG187" s="88" t="s">
        <v>361</v>
      </c>
      <c r="AH187" s="88" t="s">
        <v>375</v>
      </c>
      <c r="AI187" s="88" t="s">
        <v>346</v>
      </c>
      <c r="AJ187" s="95"/>
      <c r="AK187" s="88" t="s">
        <v>1777</v>
      </c>
      <c r="AL187" s="88" t="s">
        <v>1778</v>
      </c>
      <c r="AM187" s="95"/>
      <c r="AN187" s="96" t="s">
        <v>1779</v>
      </c>
      <c r="AO187" s="84"/>
    </row>
    <row r="188" spans="1:41" s="85" customFormat="1" x14ac:dyDescent="0.25">
      <c r="A188" s="88" t="s">
        <v>289</v>
      </c>
      <c r="B188" s="88" t="s">
        <v>1780</v>
      </c>
      <c r="C188" s="88" t="s">
        <v>252</v>
      </c>
      <c r="D188" s="88" t="s">
        <v>25</v>
      </c>
      <c r="E188" s="88" t="s">
        <v>351</v>
      </c>
      <c r="F188" s="88" t="s">
        <v>332</v>
      </c>
      <c r="G188" s="88">
        <v>2020</v>
      </c>
      <c r="H188" s="88" t="s">
        <v>333</v>
      </c>
      <c r="I188" s="88" t="s">
        <v>1781</v>
      </c>
      <c r="J188" s="88" t="s">
        <v>335</v>
      </c>
      <c r="K188" s="92" t="s">
        <v>1782</v>
      </c>
      <c r="L188" s="93"/>
      <c r="M188" s="94" t="s">
        <v>2272</v>
      </c>
      <c r="N188" s="88" t="s">
        <v>73</v>
      </c>
      <c r="O188" s="88" t="s">
        <v>336</v>
      </c>
      <c r="P188" s="88" t="s">
        <v>117</v>
      </c>
      <c r="Q188" s="88" t="s">
        <v>139</v>
      </c>
      <c r="R188" s="88" t="s">
        <v>709</v>
      </c>
      <c r="S188" s="88" t="s">
        <v>331</v>
      </c>
      <c r="T188" s="88" t="s">
        <v>351</v>
      </c>
      <c r="U188" s="88" t="s">
        <v>90</v>
      </c>
      <c r="V188" s="88" t="s">
        <v>331</v>
      </c>
      <c r="W188" s="88" t="s">
        <v>356</v>
      </c>
      <c r="X188" s="88" t="s">
        <v>130</v>
      </c>
      <c r="Y188" s="88" t="s">
        <v>339</v>
      </c>
      <c r="Z188" s="88" t="s">
        <v>339</v>
      </c>
      <c r="AA188" s="95"/>
      <c r="AB188" s="88" t="s">
        <v>1783</v>
      </c>
      <c r="AC188" s="88" t="s">
        <v>1784</v>
      </c>
      <c r="AD188" s="88" t="s">
        <v>342</v>
      </c>
      <c r="AE188" s="88" t="s">
        <v>394</v>
      </c>
      <c r="AF188" s="88" t="s">
        <v>130</v>
      </c>
      <c r="AG188" s="88" t="s">
        <v>361</v>
      </c>
      <c r="AH188" s="88" t="s">
        <v>1785</v>
      </c>
      <c r="AI188" s="88" t="s">
        <v>346</v>
      </c>
      <c r="AJ188" s="95"/>
      <c r="AK188" s="88" t="s">
        <v>1786</v>
      </c>
      <c r="AL188" s="88" t="s">
        <v>1787</v>
      </c>
      <c r="AM188" s="95"/>
      <c r="AN188" s="96" t="s">
        <v>1788</v>
      </c>
      <c r="AO188" s="84"/>
    </row>
    <row r="189" spans="1:41" s="85" customFormat="1" x14ac:dyDescent="0.25">
      <c r="A189" s="88" t="s">
        <v>289</v>
      </c>
      <c r="B189" s="88" t="s">
        <v>961</v>
      </c>
      <c r="C189" s="88" t="s">
        <v>252</v>
      </c>
      <c r="D189" s="88" t="s">
        <v>25</v>
      </c>
      <c r="E189" s="88" t="s">
        <v>351</v>
      </c>
      <c r="F189" s="88" t="s">
        <v>332</v>
      </c>
      <c r="G189" s="88">
        <v>2014</v>
      </c>
      <c r="H189" s="88">
        <v>2020</v>
      </c>
      <c r="I189" s="88" t="s">
        <v>1789</v>
      </c>
      <c r="J189" s="88" t="s">
        <v>351</v>
      </c>
      <c r="K189" s="92" t="s">
        <v>1790</v>
      </c>
      <c r="L189" s="93"/>
      <c r="M189" s="94" t="s">
        <v>2272</v>
      </c>
      <c r="N189" s="88" t="s">
        <v>355</v>
      </c>
      <c r="O189" s="88" t="s">
        <v>98</v>
      </c>
      <c r="P189" s="88" t="s">
        <v>134</v>
      </c>
      <c r="Q189" s="88" t="s">
        <v>139</v>
      </c>
      <c r="R189" s="88" t="s">
        <v>138</v>
      </c>
      <c r="S189" s="88" t="s">
        <v>331</v>
      </c>
      <c r="T189" s="88" t="s">
        <v>331</v>
      </c>
      <c r="U189" s="88" t="s">
        <v>130</v>
      </c>
      <c r="V189" s="88" t="s">
        <v>339</v>
      </c>
      <c r="W189" s="88" t="s">
        <v>339</v>
      </c>
      <c r="X189" s="88" t="s">
        <v>130</v>
      </c>
      <c r="Y189" s="88" t="s">
        <v>339</v>
      </c>
      <c r="Z189" s="88" t="s">
        <v>339</v>
      </c>
      <c r="AA189" s="95"/>
      <c r="AB189" s="88" t="s">
        <v>1791</v>
      </c>
      <c r="AC189" s="103" t="s">
        <v>1792</v>
      </c>
      <c r="AD189" s="88" t="s">
        <v>342</v>
      </c>
      <c r="AE189" s="88" t="s">
        <v>359</v>
      </c>
      <c r="AF189" s="88" t="s">
        <v>130</v>
      </c>
      <c r="AG189" s="88" t="s">
        <v>361</v>
      </c>
      <c r="AH189" s="88" t="s">
        <v>375</v>
      </c>
      <c r="AI189" s="88" t="s">
        <v>346</v>
      </c>
      <c r="AJ189" s="95"/>
      <c r="AK189" s="88" t="s">
        <v>339</v>
      </c>
      <c r="AL189" s="88" t="s">
        <v>339</v>
      </c>
      <c r="AM189" s="95"/>
      <c r="AN189" s="96" t="s">
        <v>1793</v>
      </c>
      <c r="AO189" s="84"/>
    </row>
    <row r="190" spans="1:41" s="85" customFormat="1" x14ac:dyDescent="0.25">
      <c r="A190" s="88" t="s">
        <v>289</v>
      </c>
      <c r="B190" s="88" t="s">
        <v>1794</v>
      </c>
      <c r="C190" s="88" t="s">
        <v>252</v>
      </c>
      <c r="D190" s="88" t="s">
        <v>25</v>
      </c>
      <c r="E190" s="88" t="s">
        <v>351</v>
      </c>
      <c r="F190" s="88" t="s">
        <v>332</v>
      </c>
      <c r="G190" s="101" t="s">
        <v>908</v>
      </c>
      <c r="H190" s="88">
        <v>2023</v>
      </c>
      <c r="I190" s="88" t="s">
        <v>1795</v>
      </c>
      <c r="J190" s="88" t="s">
        <v>351</v>
      </c>
      <c r="K190" s="92" t="s">
        <v>1796</v>
      </c>
      <c r="L190" s="93"/>
      <c r="M190" s="94" t="s">
        <v>2272</v>
      </c>
      <c r="N190" s="88" t="s">
        <v>460</v>
      </c>
      <c r="O190" s="88" t="s">
        <v>98</v>
      </c>
      <c r="P190" s="88" t="s">
        <v>602</v>
      </c>
      <c r="Q190" s="88" t="s">
        <v>124</v>
      </c>
      <c r="R190" s="88" t="s">
        <v>138</v>
      </c>
      <c r="S190" s="88" t="s">
        <v>331</v>
      </c>
      <c r="T190" s="88" t="s">
        <v>331</v>
      </c>
      <c r="U190" s="88" t="s">
        <v>130</v>
      </c>
      <c r="V190" s="88" t="s">
        <v>351</v>
      </c>
      <c r="W190" s="88" t="s">
        <v>339</v>
      </c>
      <c r="X190" s="88" t="s">
        <v>130</v>
      </c>
      <c r="Y190" s="88" t="s">
        <v>339</v>
      </c>
      <c r="Z190" s="88" t="s">
        <v>339</v>
      </c>
      <c r="AA190" s="95"/>
      <c r="AB190" s="88" t="s">
        <v>1797</v>
      </c>
      <c r="AC190" s="88" t="s">
        <v>1798</v>
      </c>
      <c r="AD190" s="88" t="s">
        <v>1799</v>
      </c>
      <c r="AE190" s="88" t="s">
        <v>359</v>
      </c>
      <c r="AF190" s="88" t="s">
        <v>130</v>
      </c>
      <c r="AG190" s="88" t="s">
        <v>361</v>
      </c>
      <c r="AH190" s="88" t="s">
        <v>1800</v>
      </c>
      <c r="AI190" s="88" t="s">
        <v>346</v>
      </c>
      <c r="AJ190" s="95"/>
      <c r="AK190" s="88" t="s">
        <v>339</v>
      </c>
      <c r="AL190" s="88" t="s">
        <v>339</v>
      </c>
      <c r="AM190" s="95"/>
      <c r="AN190" s="96" t="s">
        <v>1801</v>
      </c>
      <c r="AO190" s="84"/>
    </row>
    <row r="191" spans="1:41" s="85" customFormat="1" x14ac:dyDescent="0.25">
      <c r="A191" s="88" t="s">
        <v>290</v>
      </c>
      <c r="B191" s="88" t="s">
        <v>1802</v>
      </c>
      <c r="C191" s="88" t="s">
        <v>197</v>
      </c>
      <c r="D191" s="88" t="s">
        <v>250</v>
      </c>
      <c r="E191" s="88" t="s">
        <v>351</v>
      </c>
      <c r="F191" s="88" t="s">
        <v>332</v>
      </c>
      <c r="G191" s="88">
        <v>2020</v>
      </c>
      <c r="H191" s="88">
        <v>2025</v>
      </c>
      <c r="I191" s="88" t="s">
        <v>1686</v>
      </c>
      <c r="J191" s="88" t="s">
        <v>351</v>
      </c>
      <c r="K191" s="92" t="s">
        <v>1803</v>
      </c>
      <c r="L191" s="93"/>
      <c r="M191" s="94" t="s">
        <v>2272</v>
      </c>
      <c r="N191" s="88" t="s">
        <v>1804</v>
      </c>
      <c r="O191" s="88" t="s">
        <v>86</v>
      </c>
      <c r="P191" s="88" t="s">
        <v>75</v>
      </c>
      <c r="Q191" s="88" t="s">
        <v>139</v>
      </c>
      <c r="R191" s="88" t="s">
        <v>133</v>
      </c>
      <c r="S191" s="88" t="s">
        <v>331</v>
      </c>
      <c r="T191" s="88" t="s">
        <v>331</v>
      </c>
      <c r="U191" s="88" t="s">
        <v>130</v>
      </c>
      <c r="V191" s="88" t="s">
        <v>351</v>
      </c>
      <c r="W191" s="88" t="s">
        <v>356</v>
      </c>
      <c r="X191" s="88" t="s">
        <v>130</v>
      </c>
      <c r="Y191" s="88" t="s">
        <v>351</v>
      </c>
      <c r="Z191" s="88" t="s">
        <v>512</v>
      </c>
      <c r="AA191" s="95"/>
      <c r="AB191" s="88" t="s">
        <v>1805</v>
      </c>
      <c r="AC191" s="88" t="s">
        <v>1806</v>
      </c>
      <c r="AD191" s="88" t="s">
        <v>1807</v>
      </c>
      <c r="AE191" s="88" t="s">
        <v>359</v>
      </c>
      <c r="AF191" s="88" t="s">
        <v>130</v>
      </c>
      <c r="AG191" s="88" t="s">
        <v>361</v>
      </c>
      <c r="AH191" s="88" t="s">
        <v>375</v>
      </c>
      <c r="AI191" s="88" t="s">
        <v>346</v>
      </c>
      <c r="AJ191" s="95"/>
      <c r="AK191" s="88" t="s">
        <v>339</v>
      </c>
      <c r="AL191" s="88" t="s">
        <v>529</v>
      </c>
      <c r="AM191" s="95"/>
      <c r="AN191" s="96" t="s">
        <v>1808</v>
      </c>
      <c r="AO191" s="84"/>
    </row>
    <row r="192" spans="1:41" s="85" customFormat="1" x14ac:dyDescent="0.25">
      <c r="A192" s="88" t="s">
        <v>290</v>
      </c>
      <c r="B192" s="88" t="s">
        <v>1809</v>
      </c>
      <c r="C192" s="88" t="s">
        <v>197</v>
      </c>
      <c r="D192" s="88" t="s">
        <v>250</v>
      </c>
      <c r="E192" s="88" t="s">
        <v>351</v>
      </c>
      <c r="F192" s="88" t="s">
        <v>332</v>
      </c>
      <c r="G192" s="88">
        <v>2013</v>
      </c>
      <c r="H192" s="88">
        <v>2018</v>
      </c>
      <c r="I192" s="88" t="s">
        <v>1810</v>
      </c>
      <c r="J192" s="88" t="s">
        <v>351</v>
      </c>
      <c r="K192" s="92" t="s">
        <v>877</v>
      </c>
      <c r="L192" s="93"/>
      <c r="M192" s="119" t="s">
        <v>2252</v>
      </c>
      <c r="N192" s="88" t="s">
        <v>629</v>
      </c>
      <c r="O192" s="88" t="s">
        <v>1811</v>
      </c>
      <c r="P192" s="88" t="s">
        <v>134</v>
      </c>
      <c r="Q192" s="88" t="s">
        <v>76</v>
      </c>
      <c r="R192" s="88" t="s">
        <v>410</v>
      </c>
      <c r="S192" s="88" t="s">
        <v>331</v>
      </c>
      <c r="T192" s="88" t="s">
        <v>331</v>
      </c>
      <c r="U192" s="88" t="s">
        <v>130</v>
      </c>
      <c r="V192" s="88" t="s">
        <v>331</v>
      </c>
      <c r="W192" s="88" t="s">
        <v>351</v>
      </c>
      <c r="X192" s="88" t="s">
        <v>461</v>
      </c>
      <c r="Y192" s="88" t="s">
        <v>331</v>
      </c>
      <c r="Z192" s="88" t="s">
        <v>512</v>
      </c>
      <c r="AA192" s="95"/>
      <c r="AB192" s="88" t="s">
        <v>1812</v>
      </c>
      <c r="AC192" s="88" t="s">
        <v>1813</v>
      </c>
      <c r="AD192" s="88" t="s">
        <v>342</v>
      </c>
      <c r="AE192" s="88" t="s">
        <v>359</v>
      </c>
      <c r="AF192" s="88" t="s">
        <v>130</v>
      </c>
      <c r="AG192" s="88" t="s">
        <v>1814</v>
      </c>
      <c r="AH192" s="88" t="s">
        <v>331</v>
      </c>
      <c r="AI192" s="88" t="s">
        <v>346</v>
      </c>
      <c r="AJ192" s="95"/>
      <c r="AK192" s="88" t="s">
        <v>339</v>
      </c>
      <c r="AL192" s="88" t="s">
        <v>339</v>
      </c>
      <c r="AM192" s="95"/>
      <c r="AN192" s="96" t="s">
        <v>1815</v>
      </c>
      <c r="AO192" s="84"/>
    </row>
    <row r="193" spans="1:41" s="85" customFormat="1" x14ac:dyDescent="0.25">
      <c r="A193" s="88" t="s">
        <v>290</v>
      </c>
      <c r="B193" s="88" t="s">
        <v>1816</v>
      </c>
      <c r="C193" s="88" t="s">
        <v>197</v>
      </c>
      <c r="D193" s="88" t="s">
        <v>250</v>
      </c>
      <c r="E193" s="88" t="s">
        <v>351</v>
      </c>
      <c r="F193" s="88" t="s">
        <v>399</v>
      </c>
      <c r="G193" s="88">
        <v>2016</v>
      </c>
      <c r="H193" s="88" t="s">
        <v>333</v>
      </c>
      <c r="I193" s="88" t="s">
        <v>353</v>
      </c>
      <c r="J193" s="88" t="s">
        <v>335</v>
      </c>
      <c r="K193" s="92" t="s">
        <v>1816</v>
      </c>
      <c r="L193" s="93"/>
      <c r="M193" s="94" t="s">
        <v>2248</v>
      </c>
      <c r="N193" s="88" t="s">
        <v>353</v>
      </c>
      <c r="O193" s="88" t="s">
        <v>353</v>
      </c>
      <c r="P193" s="88" t="s">
        <v>353</v>
      </c>
      <c r="Q193" s="88" t="s">
        <v>353</v>
      </c>
      <c r="R193" s="88" t="s">
        <v>138</v>
      </c>
      <c r="S193" s="88" t="s">
        <v>331</v>
      </c>
      <c r="T193" s="88" t="s">
        <v>331</v>
      </c>
      <c r="U193" s="88" t="s">
        <v>130</v>
      </c>
      <c r="V193" s="88" t="s">
        <v>331</v>
      </c>
      <c r="W193" s="88" t="s">
        <v>351</v>
      </c>
      <c r="X193" s="88" t="s">
        <v>425</v>
      </c>
      <c r="Y193" s="88" t="s">
        <v>331</v>
      </c>
      <c r="Z193" s="88" t="s">
        <v>130</v>
      </c>
      <c r="AA193" s="95"/>
      <c r="AB193" s="88" t="s">
        <v>1817</v>
      </c>
      <c r="AC193" s="88" t="s">
        <v>353</v>
      </c>
      <c r="AD193" s="88" t="s">
        <v>342</v>
      </c>
      <c r="AE193" s="88" t="s">
        <v>359</v>
      </c>
      <c r="AF193" s="88" t="s">
        <v>130</v>
      </c>
      <c r="AG193" s="88" t="s">
        <v>1818</v>
      </c>
      <c r="AH193" s="88" t="s">
        <v>1819</v>
      </c>
      <c r="AI193" s="88" t="s">
        <v>346</v>
      </c>
      <c r="AJ193" s="95"/>
      <c r="AK193" s="88" t="s">
        <v>339</v>
      </c>
      <c r="AL193" s="88" t="s">
        <v>339</v>
      </c>
      <c r="AM193" s="95"/>
      <c r="AN193" s="96" t="s">
        <v>1820</v>
      </c>
      <c r="AO193" s="84"/>
    </row>
    <row r="194" spans="1:41" s="85" customFormat="1" x14ac:dyDescent="0.25">
      <c r="A194" s="88" t="s">
        <v>291</v>
      </c>
      <c r="B194" s="88" t="s">
        <v>1821</v>
      </c>
      <c r="C194" s="88" t="s">
        <v>252</v>
      </c>
      <c r="D194" s="88" t="s">
        <v>250</v>
      </c>
      <c r="E194" s="88" t="s">
        <v>351</v>
      </c>
      <c r="F194" s="88" t="s">
        <v>332</v>
      </c>
      <c r="G194" s="88">
        <v>2019</v>
      </c>
      <c r="H194" s="88">
        <v>2023</v>
      </c>
      <c r="I194" s="88" t="s">
        <v>1822</v>
      </c>
      <c r="J194" s="88" t="s">
        <v>351</v>
      </c>
      <c r="K194" s="92" t="s">
        <v>586</v>
      </c>
      <c r="L194" s="93"/>
      <c r="M194" s="94" t="s">
        <v>2272</v>
      </c>
      <c r="N194" s="88" t="s">
        <v>79</v>
      </c>
      <c r="O194" s="88" t="s">
        <v>336</v>
      </c>
      <c r="P194" s="88" t="s">
        <v>75</v>
      </c>
      <c r="Q194" s="88" t="s">
        <v>139</v>
      </c>
      <c r="R194" s="88" t="s">
        <v>410</v>
      </c>
      <c r="S194" s="88" t="s">
        <v>331</v>
      </c>
      <c r="T194" s="88" t="s">
        <v>331</v>
      </c>
      <c r="U194" s="88" t="s">
        <v>130</v>
      </c>
      <c r="V194" s="88" t="s">
        <v>351</v>
      </c>
      <c r="W194" s="88" t="s">
        <v>356</v>
      </c>
      <c r="X194" s="88" t="s">
        <v>130</v>
      </c>
      <c r="Y194" s="88" t="s">
        <v>351</v>
      </c>
      <c r="Z194" s="88" t="s">
        <v>512</v>
      </c>
      <c r="AA194" s="95"/>
      <c r="AB194" s="88" t="s">
        <v>1823</v>
      </c>
      <c r="AC194" s="88" t="s">
        <v>1824</v>
      </c>
      <c r="AD194" s="88" t="s">
        <v>1825</v>
      </c>
      <c r="AE194" s="88" t="s">
        <v>359</v>
      </c>
      <c r="AF194" s="88" t="s">
        <v>130</v>
      </c>
      <c r="AG194" s="88" t="s">
        <v>361</v>
      </c>
      <c r="AH194" s="88" t="s">
        <v>375</v>
      </c>
      <c r="AI194" s="88" t="s">
        <v>346</v>
      </c>
      <c r="AJ194" s="95"/>
      <c r="AK194" s="88" t="s">
        <v>339</v>
      </c>
      <c r="AL194" s="88" t="s">
        <v>339</v>
      </c>
      <c r="AM194" s="95"/>
      <c r="AN194" s="96" t="s">
        <v>1826</v>
      </c>
      <c r="AO194" s="84"/>
    </row>
    <row r="195" spans="1:41" s="85" customFormat="1" x14ac:dyDescent="0.25">
      <c r="A195" s="88" t="s">
        <v>291</v>
      </c>
      <c r="B195" s="88" t="s">
        <v>1827</v>
      </c>
      <c r="C195" s="88" t="s">
        <v>252</v>
      </c>
      <c r="D195" s="88" t="s">
        <v>250</v>
      </c>
      <c r="E195" s="88" t="s">
        <v>351</v>
      </c>
      <c r="F195" s="88" t="s">
        <v>332</v>
      </c>
      <c r="G195" s="88" t="s">
        <v>416</v>
      </c>
      <c r="H195" s="88">
        <v>2019</v>
      </c>
      <c r="I195" s="88" t="s">
        <v>1686</v>
      </c>
      <c r="J195" s="88" t="s">
        <v>351</v>
      </c>
      <c r="K195" s="92" t="s">
        <v>1827</v>
      </c>
      <c r="L195" s="93"/>
      <c r="M195" s="94" t="s">
        <v>2248</v>
      </c>
      <c r="N195" s="88" t="s">
        <v>121</v>
      </c>
      <c r="O195" s="88" t="s">
        <v>1164</v>
      </c>
      <c r="P195" s="88" t="s">
        <v>75</v>
      </c>
      <c r="Q195" s="88" t="s">
        <v>139</v>
      </c>
      <c r="R195" s="88" t="s">
        <v>1165</v>
      </c>
      <c r="S195" s="88" t="s">
        <v>331</v>
      </c>
      <c r="T195" s="88" t="s">
        <v>331</v>
      </c>
      <c r="U195" s="88" t="s">
        <v>130</v>
      </c>
      <c r="V195" s="88" t="s">
        <v>331</v>
      </c>
      <c r="W195" s="88" t="s">
        <v>356</v>
      </c>
      <c r="X195" s="88" t="s">
        <v>130</v>
      </c>
      <c r="Y195" s="88" t="s">
        <v>351</v>
      </c>
      <c r="Z195" s="88" t="s">
        <v>130</v>
      </c>
      <c r="AA195" s="95"/>
      <c r="AB195" s="88" t="s">
        <v>1828</v>
      </c>
      <c r="AC195" s="88" t="s">
        <v>1829</v>
      </c>
      <c r="AD195" s="88" t="s">
        <v>342</v>
      </c>
      <c r="AE195" s="88" t="s">
        <v>394</v>
      </c>
      <c r="AF195" s="88" t="s">
        <v>130</v>
      </c>
      <c r="AG195" s="88" t="s">
        <v>361</v>
      </c>
      <c r="AH195" s="88" t="s">
        <v>375</v>
      </c>
      <c r="AI195" s="88" t="s">
        <v>346</v>
      </c>
      <c r="AJ195" s="95"/>
      <c r="AK195" s="88" t="s">
        <v>1830</v>
      </c>
      <c r="AL195" s="88" t="s">
        <v>1831</v>
      </c>
      <c r="AM195" s="95"/>
      <c r="AN195" s="96" t="s">
        <v>1832</v>
      </c>
      <c r="AO195" s="84"/>
    </row>
    <row r="196" spans="1:41" s="85" customFormat="1" x14ac:dyDescent="0.25">
      <c r="A196" s="88" t="s">
        <v>291</v>
      </c>
      <c r="B196" s="88" t="s">
        <v>1833</v>
      </c>
      <c r="C196" s="88" t="s">
        <v>252</v>
      </c>
      <c r="D196" s="88" t="s">
        <v>250</v>
      </c>
      <c r="E196" s="88" t="s">
        <v>351</v>
      </c>
      <c r="F196" s="88" t="s">
        <v>332</v>
      </c>
      <c r="G196" s="88">
        <v>2018</v>
      </c>
      <c r="H196" s="88">
        <v>2019</v>
      </c>
      <c r="I196" s="88" t="s">
        <v>1686</v>
      </c>
      <c r="J196" s="88" t="s">
        <v>351</v>
      </c>
      <c r="K196" s="92" t="s">
        <v>1833</v>
      </c>
      <c r="L196" s="93"/>
      <c r="M196" s="94" t="s">
        <v>2272</v>
      </c>
      <c r="N196" s="88" t="s">
        <v>85</v>
      </c>
      <c r="O196" s="88" t="s">
        <v>336</v>
      </c>
      <c r="P196" s="88" t="s">
        <v>134</v>
      </c>
      <c r="Q196" s="88" t="s">
        <v>1834</v>
      </c>
      <c r="R196" s="88" t="s">
        <v>138</v>
      </c>
      <c r="S196" s="88" t="s">
        <v>331</v>
      </c>
      <c r="T196" s="88" t="s">
        <v>331</v>
      </c>
      <c r="U196" s="88" t="s">
        <v>130</v>
      </c>
      <c r="V196" s="88" t="s">
        <v>331</v>
      </c>
      <c r="W196" s="88" t="s">
        <v>356</v>
      </c>
      <c r="X196" s="88" t="s">
        <v>130</v>
      </c>
      <c r="Y196" s="88" t="s">
        <v>339</v>
      </c>
      <c r="Z196" s="88" t="s">
        <v>130</v>
      </c>
      <c r="AA196" s="95"/>
      <c r="AB196" s="88" t="s">
        <v>1835</v>
      </c>
      <c r="AC196" s="97" t="s">
        <v>1836</v>
      </c>
      <c r="AD196" s="88" t="s">
        <v>342</v>
      </c>
      <c r="AE196" s="88" t="s">
        <v>394</v>
      </c>
      <c r="AF196" s="88" t="s">
        <v>130</v>
      </c>
      <c r="AG196" s="88" t="s">
        <v>361</v>
      </c>
      <c r="AH196" s="88" t="s">
        <v>375</v>
      </c>
      <c r="AI196" s="88" t="s">
        <v>346</v>
      </c>
      <c r="AJ196" s="95"/>
      <c r="AK196" s="88" t="s">
        <v>1837</v>
      </c>
      <c r="AL196" s="88" t="s">
        <v>339</v>
      </c>
      <c r="AM196" s="95"/>
      <c r="AN196" s="96" t="s">
        <v>1838</v>
      </c>
      <c r="AO196" s="84"/>
    </row>
    <row r="197" spans="1:41" s="85" customFormat="1" x14ac:dyDescent="0.25">
      <c r="A197" s="88" t="s">
        <v>292</v>
      </c>
      <c r="B197" s="88" t="s">
        <v>1839</v>
      </c>
      <c r="C197" s="88" t="s">
        <v>30</v>
      </c>
      <c r="D197" s="88" t="s">
        <v>248</v>
      </c>
      <c r="E197" s="88" t="s">
        <v>351</v>
      </c>
      <c r="F197" s="88" t="s">
        <v>332</v>
      </c>
      <c r="G197" s="88" t="s">
        <v>416</v>
      </c>
      <c r="H197" s="88" t="s">
        <v>333</v>
      </c>
      <c r="I197" s="88" t="s">
        <v>1840</v>
      </c>
      <c r="J197" s="88" t="s">
        <v>335</v>
      </c>
      <c r="K197" s="92" t="s">
        <v>1840</v>
      </c>
      <c r="L197" s="93"/>
      <c r="M197" s="94" t="s">
        <v>2272</v>
      </c>
      <c r="N197" s="88" t="s">
        <v>79</v>
      </c>
      <c r="O197" s="88" t="s">
        <v>336</v>
      </c>
      <c r="P197" s="88" t="s">
        <v>871</v>
      </c>
      <c r="Q197" s="88" t="s">
        <v>139</v>
      </c>
      <c r="R197" s="88" t="s">
        <v>138</v>
      </c>
      <c r="S197" s="88" t="s">
        <v>331</v>
      </c>
      <c r="T197" s="88" t="s">
        <v>331</v>
      </c>
      <c r="U197" s="88" t="s">
        <v>130</v>
      </c>
      <c r="V197" s="88" t="s">
        <v>339</v>
      </c>
      <c r="W197" s="88" t="s">
        <v>339</v>
      </c>
      <c r="X197" s="88" t="s">
        <v>130</v>
      </c>
      <c r="Y197" s="88" t="s">
        <v>339</v>
      </c>
      <c r="Z197" s="88" t="s">
        <v>339</v>
      </c>
      <c r="AA197" s="95"/>
      <c r="AB197" s="88" t="s">
        <v>1841</v>
      </c>
      <c r="AC197" s="88" t="s">
        <v>1842</v>
      </c>
      <c r="AD197" s="88" t="s">
        <v>342</v>
      </c>
      <c r="AE197" s="88" t="s">
        <v>359</v>
      </c>
      <c r="AF197" s="88" t="s">
        <v>130</v>
      </c>
      <c r="AG197" s="88" t="s">
        <v>361</v>
      </c>
      <c r="AH197" s="88" t="s">
        <v>375</v>
      </c>
      <c r="AI197" s="88" t="s">
        <v>346</v>
      </c>
      <c r="AJ197" s="95"/>
      <c r="AK197" s="88" t="s">
        <v>339</v>
      </c>
      <c r="AL197" s="88" t="s">
        <v>339</v>
      </c>
      <c r="AM197" s="95"/>
      <c r="AN197" s="96" t="s">
        <v>1843</v>
      </c>
      <c r="AO197" s="84"/>
    </row>
    <row r="198" spans="1:41" s="85" customFormat="1" x14ac:dyDescent="0.25">
      <c r="A198" s="88" t="s">
        <v>292</v>
      </c>
      <c r="B198" s="88" t="s">
        <v>1844</v>
      </c>
      <c r="C198" s="88" t="s">
        <v>30</v>
      </c>
      <c r="D198" s="88" t="s">
        <v>248</v>
      </c>
      <c r="E198" s="88" t="s">
        <v>351</v>
      </c>
      <c r="F198" s="88" t="s">
        <v>332</v>
      </c>
      <c r="G198" s="88">
        <v>2013</v>
      </c>
      <c r="H198" s="88" t="s">
        <v>333</v>
      </c>
      <c r="I198" s="88" t="s">
        <v>1845</v>
      </c>
      <c r="J198" s="88" t="s">
        <v>335</v>
      </c>
      <c r="K198" s="92" t="s">
        <v>1845</v>
      </c>
      <c r="L198" s="93"/>
      <c r="M198" s="94" t="s">
        <v>2272</v>
      </c>
      <c r="N198" s="88" t="s">
        <v>85</v>
      </c>
      <c r="O198" s="88" t="s">
        <v>336</v>
      </c>
      <c r="P198" s="88" t="s">
        <v>131</v>
      </c>
      <c r="Q198" s="88" t="s">
        <v>139</v>
      </c>
      <c r="R198" s="88" t="s">
        <v>138</v>
      </c>
      <c r="S198" s="88" t="s">
        <v>331</v>
      </c>
      <c r="T198" s="88" t="s">
        <v>331</v>
      </c>
      <c r="U198" s="88" t="s">
        <v>130</v>
      </c>
      <c r="V198" s="88" t="s">
        <v>339</v>
      </c>
      <c r="W198" s="88" t="s">
        <v>339</v>
      </c>
      <c r="X198" s="88" t="s">
        <v>130</v>
      </c>
      <c r="Y198" s="88" t="s">
        <v>339</v>
      </c>
      <c r="Z198" s="88" t="s">
        <v>339</v>
      </c>
      <c r="AA198" s="95"/>
      <c r="AB198" s="88" t="s">
        <v>1846</v>
      </c>
      <c r="AC198" s="88" t="s">
        <v>1847</v>
      </c>
      <c r="AD198" s="88" t="s">
        <v>342</v>
      </c>
      <c r="AE198" s="88" t="s">
        <v>359</v>
      </c>
      <c r="AF198" s="88" t="s">
        <v>130</v>
      </c>
      <c r="AG198" s="88" t="s">
        <v>361</v>
      </c>
      <c r="AH198" s="88" t="s">
        <v>375</v>
      </c>
      <c r="AI198" s="88" t="s">
        <v>346</v>
      </c>
      <c r="AJ198" s="95"/>
      <c r="AK198" s="88" t="s">
        <v>339</v>
      </c>
      <c r="AL198" s="88" t="s">
        <v>339</v>
      </c>
      <c r="AM198" s="95"/>
      <c r="AN198" s="96" t="s">
        <v>1848</v>
      </c>
      <c r="AO198" s="84"/>
    </row>
    <row r="199" spans="1:41" s="85" customFormat="1" x14ac:dyDescent="0.25">
      <c r="A199" s="88" t="s">
        <v>292</v>
      </c>
      <c r="B199" s="88" t="s">
        <v>1849</v>
      </c>
      <c r="C199" s="88" t="s">
        <v>30</v>
      </c>
      <c r="D199" s="88" t="s">
        <v>248</v>
      </c>
      <c r="E199" s="88" t="s">
        <v>351</v>
      </c>
      <c r="F199" s="88" t="s">
        <v>332</v>
      </c>
      <c r="G199" s="88">
        <v>2020</v>
      </c>
      <c r="H199" s="88" t="s">
        <v>1850</v>
      </c>
      <c r="I199" s="88" t="s">
        <v>1851</v>
      </c>
      <c r="J199" s="88" t="s">
        <v>335</v>
      </c>
      <c r="K199" s="92" t="s">
        <v>1852</v>
      </c>
      <c r="L199" s="93"/>
      <c r="M199" s="94" t="s">
        <v>2272</v>
      </c>
      <c r="N199" s="88" t="s">
        <v>79</v>
      </c>
      <c r="O199" s="88" t="s">
        <v>336</v>
      </c>
      <c r="P199" s="88" t="s">
        <v>1853</v>
      </c>
      <c r="Q199" s="88" t="s">
        <v>139</v>
      </c>
      <c r="R199" s="88" t="s">
        <v>138</v>
      </c>
      <c r="S199" s="88" t="s">
        <v>331</v>
      </c>
      <c r="T199" s="88" t="s">
        <v>351</v>
      </c>
      <c r="U199" s="88" t="s">
        <v>90</v>
      </c>
      <c r="V199" s="88" t="s">
        <v>339</v>
      </c>
      <c r="W199" s="88" t="s">
        <v>339</v>
      </c>
      <c r="X199" s="88" t="s">
        <v>130</v>
      </c>
      <c r="Y199" s="88" t="s">
        <v>339</v>
      </c>
      <c r="Z199" s="88" t="s">
        <v>339</v>
      </c>
      <c r="AA199" s="95"/>
      <c r="AB199" s="88" t="s">
        <v>1854</v>
      </c>
      <c r="AC199" s="88" t="s">
        <v>1855</v>
      </c>
      <c r="AD199" s="88" t="s">
        <v>342</v>
      </c>
      <c r="AE199" s="88" t="s">
        <v>359</v>
      </c>
      <c r="AF199" s="88" t="s">
        <v>130</v>
      </c>
      <c r="AG199" s="88" t="s">
        <v>361</v>
      </c>
      <c r="AH199" s="88" t="s">
        <v>375</v>
      </c>
      <c r="AI199" s="88" t="s">
        <v>346</v>
      </c>
      <c r="AJ199" s="95"/>
      <c r="AK199" s="88" t="s">
        <v>339</v>
      </c>
      <c r="AL199" s="88" t="s">
        <v>339</v>
      </c>
      <c r="AM199" s="95"/>
      <c r="AN199" s="96" t="s">
        <v>1856</v>
      </c>
      <c r="AO199" s="84"/>
    </row>
    <row r="200" spans="1:41" s="85" customFormat="1" x14ac:dyDescent="0.25">
      <c r="A200" s="88" t="s">
        <v>292</v>
      </c>
      <c r="B200" s="88" t="s">
        <v>1857</v>
      </c>
      <c r="C200" s="88" t="s">
        <v>30</v>
      </c>
      <c r="D200" s="88" t="s">
        <v>248</v>
      </c>
      <c r="E200" s="88" t="s">
        <v>351</v>
      </c>
      <c r="F200" s="88" t="s">
        <v>332</v>
      </c>
      <c r="G200" s="101" t="s">
        <v>509</v>
      </c>
      <c r="H200" s="88" t="s">
        <v>333</v>
      </c>
      <c r="I200" s="88" t="s">
        <v>1851</v>
      </c>
      <c r="J200" s="88" t="s">
        <v>335</v>
      </c>
      <c r="K200" s="92" t="s">
        <v>1852</v>
      </c>
      <c r="L200" s="93"/>
      <c r="M200" s="94" t="s">
        <v>2272</v>
      </c>
      <c r="N200" s="88" t="s">
        <v>355</v>
      </c>
      <c r="O200" s="88" t="s">
        <v>1858</v>
      </c>
      <c r="P200" s="88" t="s">
        <v>930</v>
      </c>
      <c r="Q200" s="88" t="s">
        <v>137</v>
      </c>
      <c r="R200" s="88" t="s">
        <v>119</v>
      </c>
      <c r="S200" s="88" t="s">
        <v>331</v>
      </c>
      <c r="T200" s="88" t="s">
        <v>351</v>
      </c>
      <c r="U200" s="88" t="s">
        <v>90</v>
      </c>
      <c r="V200" s="88" t="s">
        <v>339</v>
      </c>
      <c r="W200" s="88" t="s">
        <v>339</v>
      </c>
      <c r="X200" s="88" t="s">
        <v>130</v>
      </c>
      <c r="Y200" s="88" t="s">
        <v>339</v>
      </c>
      <c r="Z200" s="88" t="s">
        <v>339</v>
      </c>
      <c r="AA200" s="95"/>
      <c r="AB200" s="88" t="s">
        <v>1859</v>
      </c>
      <c r="AC200" s="88" t="s">
        <v>1860</v>
      </c>
      <c r="AD200" s="88" t="s">
        <v>342</v>
      </c>
      <c r="AE200" s="88" t="s">
        <v>359</v>
      </c>
      <c r="AF200" s="88" t="s">
        <v>130</v>
      </c>
      <c r="AG200" s="88" t="s">
        <v>361</v>
      </c>
      <c r="AH200" s="88" t="s">
        <v>375</v>
      </c>
      <c r="AI200" s="88" t="s">
        <v>346</v>
      </c>
      <c r="AJ200" s="95"/>
      <c r="AK200" s="88" t="s">
        <v>339</v>
      </c>
      <c r="AL200" s="88" t="s">
        <v>339</v>
      </c>
      <c r="AM200" s="95"/>
      <c r="AN200" s="96" t="s">
        <v>1861</v>
      </c>
      <c r="AO200" s="84"/>
    </row>
    <row r="201" spans="1:41" s="85" customFormat="1" x14ac:dyDescent="0.25">
      <c r="A201" s="88" t="s">
        <v>292</v>
      </c>
      <c r="B201" s="88" t="s">
        <v>1862</v>
      </c>
      <c r="C201" s="88" t="s">
        <v>30</v>
      </c>
      <c r="D201" s="88" t="s">
        <v>248</v>
      </c>
      <c r="E201" s="88" t="s">
        <v>351</v>
      </c>
      <c r="F201" s="88" t="s">
        <v>332</v>
      </c>
      <c r="G201" s="101" t="s">
        <v>509</v>
      </c>
      <c r="H201" s="88" t="s">
        <v>333</v>
      </c>
      <c r="I201" s="88" t="s">
        <v>1851</v>
      </c>
      <c r="J201" s="88" t="s">
        <v>335</v>
      </c>
      <c r="K201" s="92" t="s">
        <v>1852</v>
      </c>
      <c r="L201" s="93"/>
      <c r="M201" s="94" t="s">
        <v>2272</v>
      </c>
      <c r="N201" s="88" t="s">
        <v>355</v>
      </c>
      <c r="O201" s="88" t="s">
        <v>98</v>
      </c>
      <c r="P201" s="88" t="s">
        <v>930</v>
      </c>
      <c r="Q201" s="88" t="s">
        <v>1863</v>
      </c>
      <c r="R201" s="88" t="s">
        <v>138</v>
      </c>
      <c r="S201" s="88" t="s">
        <v>331</v>
      </c>
      <c r="T201" s="88" t="s">
        <v>351</v>
      </c>
      <c r="U201" s="88" t="s">
        <v>90</v>
      </c>
      <c r="V201" s="88" t="s">
        <v>339</v>
      </c>
      <c r="W201" s="88" t="s">
        <v>339</v>
      </c>
      <c r="X201" s="88" t="s">
        <v>130</v>
      </c>
      <c r="Y201" s="88" t="s">
        <v>339</v>
      </c>
      <c r="Z201" s="88" t="s">
        <v>339</v>
      </c>
      <c r="AA201" s="95"/>
      <c r="AB201" s="88" t="s">
        <v>1864</v>
      </c>
      <c r="AC201" s="88" t="s">
        <v>1865</v>
      </c>
      <c r="AD201" s="88" t="s">
        <v>342</v>
      </c>
      <c r="AE201" s="88" t="s">
        <v>359</v>
      </c>
      <c r="AF201" s="88" t="s">
        <v>130</v>
      </c>
      <c r="AG201" s="88" t="s">
        <v>361</v>
      </c>
      <c r="AH201" s="88" t="s">
        <v>375</v>
      </c>
      <c r="AI201" s="88" t="s">
        <v>346</v>
      </c>
      <c r="AJ201" s="95"/>
      <c r="AK201" s="88" t="s">
        <v>339</v>
      </c>
      <c r="AL201" s="88" t="s">
        <v>339</v>
      </c>
      <c r="AM201" s="95"/>
      <c r="AN201" s="96" t="s">
        <v>1861</v>
      </c>
      <c r="AO201" s="84"/>
    </row>
    <row r="202" spans="1:41" s="85" customFormat="1" x14ac:dyDescent="0.25">
      <c r="A202" s="88" t="s">
        <v>292</v>
      </c>
      <c r="B202" s="88" t="s">
        <v>1866</v>
      </c>
      <c r="C202" s="88" t="s">
        <v>30</v>
      </c>
      <c r="D202" s="88" t="s">
        <v>248</v>
      </c>
      <c r="E202" s="88" t="s">
        <v>351</v>
      </c>
      <c r="F202" s="88" t="s">
        <v>332</v>
      </c>
      <c r="G202" s="101" t="s">
        <v>509</v>
      </c>
      <c r="H202" s="88" t="s">
        <v>333</v>
      </c>
      <c r="I202" s="88" t="s">
        <v>1851</v>
      </c>
      <c r="J202" s="88" t="s">
        <v>335</v>
      </c>
      <c r="K202" s="92" t="s">
        <v>1852</v>
      </c>
      <c r="L202" s="93"/>
      <c r="M202" s="94" t="s">
        <v>2272</v>
      </c>
      <c r="N202" s="88" t="s">
        <v>355</v>
      </c>
      <c r="O202" s="88" t="s">
        <v>98</v>
      </c>
      <c r="P202" s="88" t="s">
        <v>87</v>
      </c>
      <c r="Q202" s="88" t="s">
        <v>1867</v>
      </c>
      <c r="R202" s="88" t="s">
        <v>77</v>
      </c>
      <c r="S202" s="88" t="s">
        <v>2263</v>
      </c>
      <c r="T202" s="88" t="s">
        <v>351</v>
      </c>
      <c r="U202" s="88" t="s">
        <v>90</v>
      </c>
      <c r="V202" s="88" t="s">
        <v>339</v>
      </c>
      <c r="W202" s="88" t="s">
        <v>339</v>
      </c>
      <c r="X202" s="88" t="s">
        <v>130</v>
      </c>
      <c r="Y202" s="88" t="s">
        <v>339</v>
      </c>
      <c r="Z202" s="88" t="s">
        <v>339</v>
      </c>
      <c r="AA202" s="95"/>
      <c r="AB202" s="88" t="s">
        <v>1868</v>
      </c>
      <c r="AC202" s="88" t="s">
        <v>1869</v>
      </c>
      <c r="AD202" s="88" t="s">
        <v>342</v>
      </c>
      <c r="AE202" s="88" t="s">
        <v>359</v>
      </c>
      <c r="AF202" s="88" t="s">
        <v>130</v>
      </c>
      <c r="AG202" s="88" t="s">
        <v>361</v>
      </c>
      <c r="AH202" s="88" t="s">
        <v>375</v>
      </c>
      <c r="AI202" s="88" t="s">
        <v>346</v>
      </c>
      <c r="AJ202" s="95"/>
      <c r="AK202" s="88" t="s">
        <v>339</v>
      </c>
      <c r="AL202" s="88" t="s">
        <v>339</v>
      </c>
      <c r="AM202" s="95"/>
      <c r="AN202" s="96" t="s">
        <v>1861</v>
      </c>
      <c r="AO202" s="84"/>
    </row>
    <row r="203" spans="1:41" s="85" customFormat="1" x14ac:dyDescent="0.25">
      <c r="A203" s="88" t="s">
        <v>292</v>
      </c>
      <c r="B203" s="88" t="s">
        <v>1870</v>
      </c>
      <c r="C203" s="88" t="s">
        <v>30</v>
      </c>
      <c r="D203" s="88" t="s">
        <v>248</v>
      </c>
      <c r="E203" s="88" t="s">
        <v>351</v>
      </c>
      <c r="F203" s="88" t="s">
        <v>332</v>
      </c>
      <c r="G203" s="104" t="s">
        <v>416</v>
      </c>
      <c r="H203" s="100" t="s">
        <v>1871</v>
      </c>
      <c r="I203" s="88" t="s">
        <v>1872</v>
      </c>
      <c r="J203" s="88" t="s">
        <v>335</v>
      </c>
      <c r="K203" s="92" t="s">
        <v>1872</v>
      </c>
      <c r="L203" s="93"/>
      <c r="M203" s="94" t="s">
        <v>2272</v>
      </c>
      <c r="N203" s="88" t="s">
        <v>85</v>
      </c>
      <c r="O203" s="88" t="s">
        <v>336</v>
      </c>
      <c r="P203" s="88" t="s">
        <v>800</v>
      </c>
      <c r="Q203" s="88" t="s">
        <v>76</v>
      </c>
      <c r="R203" s="88" t="s">
        <v>138</v>
      </c>
      <c r="S203" s="88" t="s">
        <v>331</v>
      </c>
      <c r="T203" s="88" t="s">
        <v>351</v>
      </c>
      <c r="U203" s="88" t="s">
        <v>90</v>
      </c>
      <c r="V203" s="88" t="s">
        <v>339</v>
      </c>
      <c r="W203" s="88" t="s">
        <v>339</v>
      </c>
      <c r="X203" s="88" t="s">
        <v>130</v>
      </c>
      <c r="Y203" s="88" t="s">
        <v>339</v>
      </c>
      <c r="Z203" s="88" t="s">
        <v>339</v>
      </c>
      <c r="AA203" s="95"/>
      <c r="AB203" s="88" t="s">
        <v>1873</v>
      </c>
      <c r="AC203" s="88" t="s">
        <v>1874</v>
      </c>
      <c r="AD203" s="88" t="s">
        <v>342</v>
      </c>
      <c r="AE203" s="88" t="s">
        <v>359</v>
      </c>
      <c r="AF203" s="88" t="s">
        <v>130</v>
      </c>
      <c r="AG203" s="88" t="s">
        <v>361</v>
      </c>
      <c r="AH203" s="88" t="s">
        <v>375</v>
      </c>
      <c r="AI203" s="88" t="s">
        <v>346</v>
      </c>
      <c r="AJ203" s="95"/>
      <c r="AK203" s="88" t="s">
        <v>339</v>
      </c>
      <c r="AL203" s="88" t="s">
        <v>339</v>
      </c>
      <c r="AM203" s="95"/>
      <c r="AN203" s="96" t="s">
        <v>1875</v>
      </c>
      <c r="AO203" s="84"/>
    </row>
    <row r="204" spans="1:41" s="85" customFormat="1" x14ac:dyDescent="0.25">
      <c r="A204" s="88" t="s">
        <v>292</v>
      </c>
      <c r="B204" s="88" t="s">
        <v>1876</v>
      </c>
      <c r="C204" s="88" t="s">
        <v>30</v>
      </c>
      <c r="D204" s="88" t="s">
        <v>248</v>
      </c>
      <c r="E204" s="88" t="s">
        <v>351</v>
      </c>
      <c r="F204" s="88" t="s">
        <v>332</v>
      </c>
      <c r="G204" s="104" t="s">
        <v>416</v>
      </c>
      <c r="H204" s="100" t="s">
        <v>1877</v>
      </c>
      <c r="I204" s="88" t="s">
        <v>1878</v>
      </c>
      <c r="J204" s="88" t="s">
        <v>335</v>
      </c>
      <c r="K204" s="92" t="s">
        <v>1878</v>
      </c>
      <c r="L204" s="93"/>
      <c r="M204" s="94" t="s">
        <v>2272</v>
      </c>
      <c r="N204" s="88" t="s">
        <v>85</v>
      </c>
      <c r="O204" s="88" t="s">
        <v>336</v>
      </c>
      <c r="P204" s="88" t="s">
        <v>134</v>
      </c>
      <c r="Q204" s="88" t="s">
        <v>1879</v>
      </c>
      <c r="R204" s="88" t="s">
        <v>138</v>
      </c>
      <c r="S204" s="88" t="s">
        <v>331</v>
      </c>
      <c r="T204" s="88" t="s">
        <v>351</v>
      </c>
      <c r="U204" s="88" t="s">
        <v>90</v>
      </c>
      <c r="V204" s="88" t="s">
        <v>339</v>
      </c>
      <c r="W204" s="88" t="s">
        <v>339</v>
      </c>
      <c r="X204" s="88" t="s">
        <v>130</v>
      </c>
      <c r="Y204" s="88" t="s">
        <v>339</v>
      </c>
      <c r="Z204" s="88" t="s">
        <v>339</v>
      </c>
      <c r="AA204" s="95"/>
      <c r="AB204" s="88" t="s">
        <v>1880</v>
      </c>
      <c r="AC204" s="88" t="s">
        <v>1881</v>
      </c>
      <c r="AD204" s="88" t="s">
        <v>342</v>
      </c>
      <c r="AE204" s="88" t="s">
        <v>359</v>
      </c>
      <c r="AF204" s="88" t="s">
        <v>130</v>
      </c>
      <c r="AG204" s="88" t="s">
        <v>361</v>
      </c>
      <c r="AH204" s="88" t="s">
        <v>375</v>
      </c>
      <c r="AI204" s="88" t="s">
        <v>346</v>
      </c>
      <c r="AJ204" s="95"/>
      <c r="AK204" s="88" t="s">
        <v>339</v>
      </c>
      <c r="AL204" s="88" t="s">
        <v>339</v>
      </c>
      <c r="AM204" s="95"/>
      <c r="AN204" s="96" t="s">
        <v>1882</v>
      </c>
      <c r="AO204" s="84"/>
    </row>
    <row r="205" spans="1:41" s="85" customFormat="1" x14ac:dyDescent="0.25">
      <c r="A205" s="88" t="s">
        <v>292</v>
      </c>
      <c r="B205" s="88" t="s">
        <v>1883</v>
      </c>
      <c r="C205" s="88" t="s">
        <v>30</v>
      </c>
      <c r="D205" s="88" t="s">
        <v>248</v>
      </c>
      <c r="E205" s="88" t="s">
        <v>351</v>
      </c>
      <c r="F205" s="88" t="s">
        <v>332</v>
      </c>
      <c r="G205" s="101" t="s">
        <v>1884</v>
      </c>
      <c r="H205" s="98" t="s">
        <v>333</v>
      </c>
      <c r="I205" s="88" t="s">
        <v>1852</v>
      </c>
      <c r="J205" s="88" t="s">
        <v>335</v>
      </c>
      <c r="K205" s="92" t="s">
        <v>1852</v>
      </c>
      <c r="L205" s="93"/>
      <c r="M205" s="94" t="s">
        <v>2272</v>
      </c>
      <c r="N205" s="88" t="s">
        <v>355</v>
      </c>
      <c r="O205" s="88" t="s">
        <v>98</v>
      </c>
      <c r="P205" s="88" t="s">
        <v>111</v>
      </c>
      <c r="Q205" s="88" t="s">
        <v>139</v>
      </c>
      <c r="R205" s="88" t="s">
        <v>138</v>
      </c>
      <c r="S205" s="88" t="s">
        <v>331</v>
      </c>
      <c r="T205" s="88" t="s">
        <v>331</v>
      </c>
      <c r="U205" s="88" t="s">
        <v>130</v>
      </c>
      <c r="V205" s="88" t="s">
        <v>339</v>
      </c>
      <c r="W205" s="88" t="s">
        <v>339</v>
      </c>
      <c r="X205" s="88" t="s">
        <v>130</v>
      </c>
      <c r="Y205" s="88" t="s">
        <v>339</v>
      </c>
      <c r="Z205" s="88" t="s">
        <v>339</v>
      </c>
      <c r="AA205" s="95"/>
      <c r="AB205" s="88" t="s">
        <v>1885</v>
      </c>
      <c r="AC205" s="88" t="s">
        <v>1886</v>
      </c>
      <c r="AD205" s="88" t="s">
        <v>342</v>
      </c>
      <c r="AE205" s="88" t="s">
        <v>359</v>
      </c>
      <c r="AF205" s="88" t="s">
        <v>130</v>
      </c>
      <c r="AG205" s="88" t="s">
        <v>361</v>
      </c>
      <c r="AH205" s="88" t="s">
        <v>375</v>
      </c>
      <c r="AI205" s="88" t="s">
        <v>346</v>
      </c>
      <c r="AJ205" s="95"/>
      <c r="AK205" s="88" t="s">
        <v>339</v>
      </c>
      <c r="AL205" s="88" t="s">
        <v>339</v>
      </c>
      <c r="AM205" s="95"/>
      <c r="AN205" s="96" t="s">
        <v>1887</v>
      </c>
      <c r="AO205" s="84"/>
    </row>
    <row r="206" spans="1:41" s="85" customFormat="1" x14ac:dyDescent="0.25">
      <c r="A206" s="88" t="s">
        <v>292</v>
      </c>
      <c r="B206" s="88" t="s">
        <v>1888</v>
      </c>
      <c r="C206" s="88" t="s">
        <v>30</v>
      </c>
      <c r="D206" s="88" t="s">
        <v>248</v>
      </c>
      <c r="E206" s="88" t="s">
        <v>351</v>
      </c>
      <c r="F206" s="88" t="s">
        <v>332</v>
      </c>
      <c r="G206" s="88" t="s">
        <v>416</v>
      </c>
      <c r="H206" s="88" t="s">
        <v>333</v>
      </c>
      <c r="I206" s="88" t="s">
        <v>1851</v>
      </c>
      <c r="J206" s="88" t="s">
        <v>335</v>
      </c>
      <c r="K206" s="92" t="s">
        <v>1851</v>
      </c>
      <c r="L206" s="93"/>
      <c r="M206" s="94" t="s">
        <v>2270</v>
      </c>
      <c r="N206" s="88" t="s">
        <v>121</v>
      </c>
      <c r="O206" s="88" t="s">
        <v>98</v>
      </c>
      <c r="P206" s="88" t="s">
        <v>920</v>
      </c>
      <c r="Q206" s="88" t="s">
        <v>1889</v>
      </c>
      <c r="R206" s="88" t="s">
        <v>138</v>
      </c>
      <c r="S206" s="88" t="s">
        <v>331</v>
      </c>
      <c r="T206" s="88" t="s">
        <v>331</v>
      </c>
      <c r="U206" s="88" t="s">
        <v>130</v>
      </c>
      <c r="V206" s="88" t="s">
        <v>351</v>
      </c>
      <c r="W206" s="88" t="s">
        <v>339</v>
      </c>
      <c r="X206" s="88" t="s">
        <v>130</v>
      </c>
      <c r="Y206" s="88" t="s">
        <v>339</v>
      </c>
      <c r="Z206" s="88" t="s">
        <v>339</v>
      </c>
      <c r="AA206" s="95"/>
      <c r="AB206" s="88" t="s">
        <v>1890</v>
      </c>
      <c r="AC206" s="97" t="s">
        <v>1891</v>
      </c>
      <c r="AD206" s="88" t="s">
        <v>1892</v>
      </c>
      <c r="AE206" s="88" t="s">
        <v>359</v>
      </c>
      <c r="AF206" s="88" t="s">
        <v>130</v>
      </c>
      <c r="AG206" s="88" t="s">
        <v>361</v>
      </c>
      <c r="AH206" s="88" t="s">
        <v>375</v>
      </c>
      <c r="AI206" s="88" t="s">
        <v>346</v>
      </c>
      <c r="AJ206" s="95"/>
      <c r="AK206" s="88" t="s">
        <v>339</v>
      </c>
      <c r="AL206" s="88" t="s">
        <v>339</v>
      </c>
      <c r="AM206" s="95"/>
      <c r="AN206" s="96" t="s">
        <v>1893</v>
      </c>
      <c r="AO206" s="84"/>
    </row>
    <row r="207" spans="1:41" s="85" customFormat="1" x14ac:dyDescent="0.25">
      <c r="A207" s="88" t="s">
        <v>292</v>
      </c>
      <c r="B207" s="88" t="s">
        <v>1894</v>
      </c>
      <c r="C207" s="88" t="s">
        <v>30</v>
      </c>
      <c r="D207" s="88" t="s">
        <v>248</v>
      </c>
      <c r="E207" s="88" t="s">
        <v>351</v>
      </c>
      <c r="F207" s="88" t="s">
        <v>332</v>
      </c>
      <c r="G207" s="88" t="s">
        <v>416</v>
      </c>
      <c r="H207" s="88" t="s">
        <v>333</v>
      </c>
      <c r="I207" s="88" t="s">
        <v>1895</v>
      </c>
      <c r="J207" s="88" t="s">
        <v>335</v>
      </c>
      <c r="K207" s="92" t="s">
        <v>1895</v>
      </c>
      <c r="L207" s="93"/>
      <c r="M207" s="94" t="s">
        <v>2272</v>
      </c>
      <c r="N207" s="88" t="s">
        <v>1553</v>
      </c>
      <c r="O207" s="88" t="s">
        <v>98</v>
      </c>
      <c r="P207" s="88" t="s">
        <v>81</v>
      </c>
      <c r="Q207" s="88" t="s">
        <v>139</v>
      </c>
      <c r="R207" s="88" t="s">
        <v>138</v>
      </c>
      <c r="S207" s="88" t="s">
        <v>331</v>
      </c>
      <c r="T207" s="88" t="s">
        <v>331</v>
      </c>
      <c r="U207" s="88" t="s">
        <v>130</v>
      </c>
      <c r="V207" s="88" t="s">
        <v>339</v>
      </c>
      <c r="W207" s="88" t="s">
        <v>339</v>
      </c>
      <c r="X207" s="88" t="s">
        <v>130</v>
      </c>
      <c r="Y207" s="88" t="s">
        <v>339</v>
      </c>
      <c r="Z207" s="88" t="s">
        <v>339</v>
      </c>
      <c r="AA207" s="95"/>
      <c r="AB207" s="88" t="s">
        <v>1896</v>
      </c>
      <c r="AC207" s="97" t="s">
        <v>1897</v>
      </c>
      <c r="AD207" s="88" t="s">
        <v>342</v>
      </c>
      <c r="AE207" s="88" t="s">
        <v>359</v>
      </c>
      <c r="AF207" s="88" t="s">
        <v>130</v>
      </c>
      <c r="AG207" s="88" t="s">
        <v>361</v>
      </c>
      <c r="AH207" s="88" t="s">
        <v>528</v>
      </c>
      <c r="AI207" s="88" t="s">
        <v>346</v>
      </c>
      <c r="AJ207" s="95"/>
      <c r="AK207" s="88" t="s">
        <v>339</v>
      </c>
      <c r="AL207" s="88" t="s">
        <v>339</v>
      </c>
      <c r="AM207" s="95"/>
      <c r="AN207" s="96" t="s">
        <v>1898</v>
      </c>
      <c r="AO207" s="84"/>
    </row>
    <row r="208" spans="1:41" s="85" customFormat="1" x14ac:dyDescent="0.25">
      <c r="A208" s="88" t="s">
        <v>292</v>
      </c>
      <c r="B208" s="88" t="s">
        <v>1899</v>
      </c>
      <c r="C208" s="88" t="s">
        <v>30</v>
      </c>
      <c r="D208" s="88" t="s">
        <v>248</v>
      </c>
      <c r="E208" s="88" t="s">
        <v>351</v>
      </c>
      <c r="F208" s="88" t="s">
        <v>387</v>
      </c>
      <c r="G208" s="100" t="s">
        <v>1900</v>
      </c>
      <c r="H208" s="100" t="s">
        <v>1901</v>
      </c>
      <c r="I208" s="88" t="s">
        <v>1895</v>
      </c>
      <c r="J208" s="88" t="s">
        <v>335</v>
      </c>
      <c r="K208" s="92" t="s">
        <v>1895</v>
      </c>
      <c r="L208" s="93"/>
      <c r="M208" s="94" t="s">
        <v>2248</v>
      </c>
      <c r="N208" s="88" t="s">
        <v>85</v>
      </c>
      <c r="O208" s="88" t="s">
        <v>336</v>
      </c>
      <c r="P208" s="88" t="s">
        <v>81</v>
      </c>
      <c r="Q208" s="88" t="s">
        <v>139</v>
      </c>
      <c r="R208" s="88" t="s">
        <v>138</v>
      </c>
      <c r="S208" s="88" t="s">
        <v>331</v>
      </c>
      <c r="T208" s="88" t="s">
        <v>351</v>
      </c>
      <c r="U208" s="88" t="s">
        <v>90</v>
      </c>
      <c r="V208" s="88" t="s">
        <v>339</v>
      </c>
      <c r="W208" s="88" t="s">
        <v>339</v>
      </c>
      <c r="X208" s="88" t="s">
        <v>130</v>
      </c>
      <c r="Y208" s="88" t="s">
        <v>339</v>
      </c>
      <c r="Z208" s="88" t="s">
        <v>339</v>
      </c>
      <c r="AA208" s="95"/>
      <c r="AB208" s="88" t="s">
        <v>1902</v>
      </c>
      <c r="AC208" s="88" t="s">
        <v>1903</v>
      </c>
      <c r="AD208" s="88" t="s">
        <v>342</v>
      </c>
      <c r="AE208" s="88" t="s">
        <v>359</v>
      </c>
      <c r="AF208" s="88" t="s">
        <v>130</v>
      </c>
      <c r="AG208" s="88" t="s">
        <v>361</v>
      </c>
      <c r="AH208" s="88" t="s">
        <v>528</v>
      </c>
      <c r="AI208" s="88" t="s">
        <v>346</v>
      </c>
      <c r="AJ208" s="95"/>
      <c r="AK208" s="88" t="s">
        <v>339</v>
      </c>
      <c r="AL208" s="88" t="s">
        <v>339</v>
      </c>
      <c r="AM208" s="95"/>
      <c r="AN208" s="88" t="s">
        <v>1904</v>
      </c>
      <c r="AO208" s="84"/>
    </row>
    <row r="209" spans="1:41" s="85" customFormat="1" x14ac:dyDescent="0.25">
      <c r="A209" s="88" t="s">
        <v>292</v>
      </c>
      <c r="B209" s="88" t="s">
        <v>1905</v>
      </c>
      <c r="C209" s="88" t="s">
        <v>30</v>
      </c>
      <c r="D209" s="88" t="s">
        <v>248</v>
      </c>
      <c r="E209" s="88" t="s">
        <v>351</v>
      </c>
      <c r="F209" s="88" t="s">
        <v>387</v>
      </c>
      <c r="G209" s="88">
        <v>2008</v>
      </c>
      <c r="H209" s="88" t="s">
        <v>333</v>
      </c>
      <c r="I209" s="88" t="s">
        <v>353</v>
      </c>
      <c r="J209" s="88" t="s">
        <v>351</v>
      </c>
      <c r="K209" s="92" t="s">
        <v>1906</v>
      </c>
      <c r="L209" s="93"/>
      <c r="M209" s="94" t="s">
        <v>2248</v>
      </c>
      <c r="N209" s="88" t="s">
        <v>79</v>
      </c>
      <c r="O209" s="88" t="s">
        <v>336</v>
      </c>
      <c r="P209" s="88" t="s">
        <v>134</v>
      </c>
      <c r="Q209" s="88" t="s">
        <v>139</v>
      </c>
      <c r="R209" s="88" t="s">
        <v>138</v>
      </c>
      <c r="S209" s="88" t="s">
        <v>331</v>
      </c>
      <c r="T209" s="88" t="s">
        <v>331</v>
      </c>
      <c r="U209" s="88" t="s">
        <v>130</v>
      </c>
      <c r="V209" s="88" t="s">
        <v>331</v>
      </c>
      <c r="W209" s="88" t="s">
        <v>356</v>
      </c>
      <c r="X209" s="88" t="s">
        <v>130</v>
      </c>
      <c r="Y209" s="88" t="s">
        <v>339</v>
      </c>
      <c r="Z209" s="88" t="s">
        <v>339</v>
      </c>
      <c r="AA209" s="95"/>
      <c r="AB209" s="88" t="s">
        <v>1907</v>
      </c>
      <c r="AC209" s="88" t="s">
        <v>1908</v>
      </c>
      <c r="AD209" s="88" t="s">
        <v>529</v>
      </c>
      <c r="AE209" s="88" t="s">
        <v>359</v>
      </c>
      <c r="AF209" s="88" t="s">
        <v>130</v>
      </c>
      <c r="AG209" s="88" t="s">
        <v>361</v>
      </c>
      <c r="AH209" s="88" t="s">
        <v>375</v>
      </c>
      <c r="AI209" s="88" t="s">
        <v>346</v>
      </c>
      <c r="AJ209" s="95"/>
      <c r="AK209" s="88" t="s">
        <v>339</v>
      </c>
      <c r="AL209" s="88" t="s">
        <v>339</v>
      </c>
      <c r="AM209" s="95"/>
      <c r="AN209" s="120" t="s">
        <v>960</v>
      </c>
      <c r="AO209" s="84"/>
    </row>
    <row r="210" spans="1:41" s="85" customFormat="1" x14ac:dyDescent="0.25">
      <c r="A210" s="88" t="s">
        <v>292</v>
      </c>
      <c r="B210" s="88" t="s">
        <v>1909</v>
      </c>
      <c r="C210" s="88" t="s">
        <v>30</v>
      </c>
      <c r="D210" s="88" t="s">
        <v>248</v>
      </c>
      <c r="E210" s="88" t="s">
        <v>351</v>
      </c>
      <c r="F210" s="88" t="s">
        <v>387</v>
      </c>
      <c r="G210" s="88">
        <v>2003</v>
      </c>
      <c r="H210" s="88" t="s">
        <v>333</v>
      </c>
      <c r="I210" s="88" t="s">
        <v>353</v>
      </c>
      <c r="J210" s="88" t="s">
        <v>335</v>
      </c>
      <c r="K210" s="92" t="s">
        <v>1910</v>
      </c>
      <c r="L210" s="93"/>
      <c r="M210" s="94" t="s">
        <v>2272</v>
      </c>
      <c r="N210" s="88" t="s">
        <v>644</v>
      </c>
      <c r="O210" s="88" t="s">
        <v>98</v>
      </c>
      <c r="P210" s="88" t="s">
        <v>1911</v>
      </c>
      <c r="Q210" s="88" t="s">
        <v>139</v>
      </c>
      <c r="R210" s="88" t="s">
        <v>77</v>
      </c>
      <c r="S210" s="88" t="s">
        <v>331</v>
      </c>
      <c r="T210" s="88" t="s">
        <v>331</v>
      </c>
      <c r="U210" s="88" t="s">
        <v>130</v>
      </c>
      <c r="V210" s="88" t="s">
        <v>331</v>
      </c>
      <c r="W210" s="88" t="s">
        <v>356</v>
      </c>
      <c r="X210" s="88" t="s">
        <v>130</v>
      </c>
      <c r="Y210" s="88" t="s">
        <v>339</v>
      </c>
      <c r="Z210" s="88" t="s">
        <v>339</v>
      </c>
      <c r="AA210" s="95"/>
      <c r="AB210" s="88" t="s">
        <v>1912</v>
      </c>
      <c r="AC210" s="97" t="s">
        <v>1913</v>
      </c>
      <c r="AD210" s="88" t="s">
        <v>529</v>
      </c>
      <c r="AE210" s="88" t="s">
        <v>359</v>
      </c>
      <c r="AF210" s="88" t="s">
        <v>130</v>
      </c>
      <c r="AG210" s="88" t="s">
        <v>361</v>
      </c>
      <c r="AH210" s="88" t="s">
        <v>375</v>
      </c>
      <c r="AI210" s="88" t="s">
        <v>346</v>
      </c>
      <c r="AJ210" s="95"/>
      <c r="AK210" s="88" t="s">
        <v>1914</v>
      </c>
      <c r="AL210" s="88" t="s">
        <v>339</v>
      </c>
      <c r="AM210" s="95"/>
      <c r="AN210" s="88" t="s">
        <v>1915</v>
      </c>
      <c r="AO210" s="84"/>
    </row>
    <row r="211" spans="1:41" s="85" customFormat="1" x14ac:dyDescent="0.25">
      <c r="A211" s="88" t="s">
        <v>292</v>
      </c>
      <c r="B211" s="88" t="s">
        <v>1916</v>
      </c>
      <c r="C211" s="88" t="s">
        <v>30</v>
      </c>
      <c r="D211" s="88" t="s">
        <v>248</v>
      </c>
      <c r="E211" s="88" t="s">
        <v>351</v>
      </c>
      <c r="F211" s="88" t="s">
        <v>399</v>
      </c>
      <c r="G211" s="88">
        <v>2008</v>
      </c>
      <c r="H211" s="88" t="s">
        <v>333</v>
      </c>
      <c r="I211" s="88" t="s">
        <v>353</v>
      </c>
      <c r="J211" s="88" t="s">
        <v>335</v>
      </c>
      <c r="K211" s="92" t="s">
        <v>1917</v>
      </c>
      <c r="L211" s="93"/>
      <c r="M211" s="94" t="s">
        <v>2248</v>
      </c>
      <c r="N211" s="88" t="s">
        <v>353</v>
      </c>
      <c r="O211" s="88" t="s">
        <v>353</v>
      </c>
      <c r="P211" s="88" t="s">
        <v>353</v>
      </c>
      <c r="Q211" s="88" t="s">
        <v>353</v>
      </c>
      <c r="R211" s="88" t="s">
        <v>353</v>
      </c>
      <c r="S211" s="88" t="s">
        <v>335</v>
      </c>
      <c r="T211" s="88" t="s">
        <v>331</v>
      </c>
      <c r="U211" s="88" t="s">
        <v>130</v>
      </c>
      <c r="V211" s="88" t="s">
        <v>331</v>
      </c>
      <c r="W211" s="88" t="s">
        <v>356</v>
      </c>
      <c r="X211" s="88" t="s">
        <v>130</v>
      </c>
      <c r="Y211" s="88" t="s">
        <v>339</v>
      </c>
      <c r="Z211" s="88" t="s">
        <v>339</v>
      </c>
      <c r="AA211" s="95"/>
      <c r="AB211" s="88" t="s">
        <v>353</v>
      </c>
      <c r="AC211" s="88" t="s">
        <v>1918</v>
      </c>
      <c r="AD211" s="88" t="s">
        <v>529</v>
      </c>
      <c r="AE211" s="88" t="s">
        <v>359</v>
      </c>
      <c r="AF211" s="88" t="s">
        <v>130</v>
      </c>
      <c r="AG211" s="88" t="s">
        <v>361</v>
      </c>
      <c r="AH211" s="88" t="s">
        <v>375</v>
      </c>
      <c r="AI211" s="88" t="s">
        <v>346</v>
      </c>
      <c r="AJ211" s="95"/>
      <c r="AK211" s="88" t="s">
        <v>339</v>
      </c>
      <c r="AL211" s="88" t="s">
        <v>339</v>
      </c>
      <c r="AM211" s="95"/>
      <c r="AN211" s="96" t="s">
        <v>960</v>
      </c>
      <c r="AO211" s="84"/>
    </row>
    <row r="212" spans="1:41" s="85" customFormat="1" x14ac:dyDescent="0.25">
      <c r="A212" s="88" t="s">
        <v>292</v>
      </c>
      <c r="B212" s="88" t="s">
        <v>1919</v>
      </c>
      <c r="C212" s="88" t="s">
        <v>30</v>
      </c>
      <c r="D212" s="88" t="s">
        <v>248</v>
      </c>
      <c r="E212" s="88" t="s">
        <v>351</v>
      </c>
      <c r="F212" s="88" t="s">
        <v>387</v>
      </c>
      <c r="G212" s="88">
        <v>2008</v>
      </c>
      <c r="H212" s="88" t="s">
        <v>333</v>
      </c>
      <c r="I212" s="88" t="s">
        <v>353</v>
      </c>
      <c r="J212" s="88" t="s">
        <v>335</v>
      </c>
      <c r="K212" s="92" t="s">
        <v>1920</v>
      </c>
      <c r="L212" s="93"/>
      <c r="M212" s="94" t="s">
        <v>2272</v>
      </c>
      <c r="N212" s="88" t="s">
        <v>1921</v>
      </c>
      <c r="O212" s="88" t="s">
        <v>98</v>
      </c>
      <c r="P212" s="88" t="s">
        <v>1922</v>
      </c>
      <c r="Q212" s="88" t="s">
        <v>139</v>
      </c>
      <c r="R212" s="88" t="s">
        <v>138</v>
      </c>
      <c r="S212" s="88" t="s">
        <v>331</v>
      </c>
      <c r="T212" s="88" t="s">
        <v>331</v>
      </c>
      <c r="U212" s="88" t="s">
        <v>130</v>
      </c>
      <c r="V212" s="88" t="s">
        <v>331</v>
      </c>
      <c r="W212" s="88" t="s">
        <v>356</v>
      </c>
      <c r="X212" s="88" t="s">
        <v>130</v>
      </c>
      <c r="Y212" s="88" t="s">
        <v>339</v>
      </c>
      <c r="Z212" s="88" t="s">
        <v>512</v>
      </c>
      <c r="AA212" s="95"/>
      <c r="AB212" s="88" t="s">
        <v>1923</v>
      </c>
      <c r="AC212" s="88" t="s">
        <v>1924</v>
      </c>
      <c r="AD212" s="88" t="s">
        <v>529</v>
      </c>
      <c r="AE212" s="88" t="s">
        <v>359</v>
      </c>
      <c r="AF212" s="88" t="s">
        <v>130</v>
      </c>
      <c r="AG212" s="88" t="s">
        <v>361</v>
      </c>
      <c r="AH212" s="88" t="s">
        <v>375</v>
      </c>
      <c r="AI212" s="88" t="s">
        <v>346</v>
      </c>
      <c r="AJ212" s="95"/>
      <c r="AK212" s="88" t="s">
        <v>339</v>
      </c>
      <c r="AL212" s="88" t="s">
        <v>339</v>
      </c>
      <c r="AM212" s="95"/>
      <c r="AN212" s="88" t="s">
        <v>1925</v>
      </c>
      <c r="AO212" s="84"/>
    </row>
    <row r="213" spans="1:41" s="85" customFormat="1" x14ac:dyDescent="0.25">
      <c r="A213" s="88" t="s">
        <v>293</v>
      </c>
      <c r="B213" s="88" t="s">
        <v>1926</v>
      </c>
      <c r="C213" s="88" t="s">
        <v>252</v>
      </c>
      <c r="D213" s="88" t="s">
        <v>250</v>
      </c>
      <c r="E213" s="88" t="s">
        <v>331</v>
      </c>
      <c r="F213" s="88" t="s">
        <v>332</v>
      </c>
      <c r="G213" s="88" t="s">
        <v>416</v>
      </c>
      <c r="H213" s="88" t="s">
        <v>333</v>
      </c>
      <c r="I213" s="88" t="s">
        <v>353</v>
      </c>
      <c r="J213" s="88" t="s">
        <v>351</v>
      </c>
      <c r="K213" s="92" t="s">
        <v>407</v>
      </c>
      <c r="L213" s="93"/>
      <c r="M213" s="94" t="s">
        <v>2272</v>
      </c>
      <c r="N213" s="88" t="s">
        <v>103</v>
      </c>
      <c r="O213" s="88" t="s">
        <v>336</v>
      </c>
      <c r="P213" s="88" t="s">
        <v>134</v>
      </c>
      <c r="Q213" s="88" t="s">
        <v>865</v>
      </c>
      <c r="R213" s="88" t="s">
        <v>138</v>
      </c>
      <c r="S213" s="88" t="s">
        <v>331</v>
      </c>
      <c r="T213" s="88" t="s">
        <v>331</v>
      </c>
      <c r="U213" s="88" t="s">
        <v>130</v>
      </c>
      <c r="V213" s="88" t="s">
        <v>339</v>
      </c>
      <c r="W213" s="88" t="s">
        <v>529</v>
      </c>
      <c r="X213" s="88" t="s">
        <v>130</v>
      </c>
      <c r="Y213" s="88" t="s">
        <v>339</v>
      </c>
      <c r="Z213" s="88" t="s">
        <v>339</v>
      </c>
      <c r="AA213" s="95"/>
      <c r="AB213" s="88" t="s">
        <v>1927</v>
      </c>
      <c r="AC213" s="88" t="s">
        <v>1928</v>
      </c>
      <c r="AD213" s="88" t="s">
        <v>1929</v>
      </c>
      <c r="AE213" s="88" t="s">
        <v>359</v>
      </c>
      <c r="AF213" s="88" t="s">
        <v>130</v>
      </c>
      <c r="AG213" s="88" t="s">
        <v>130</v>
      </c>
      <c r="AH213" s="88" t="s">
        <v>375</v>
      </c>
      <c r="AI213" s="88" t="s">
        <v>346</v>
      </c>
      <c r="AJ213" s="95"/>
      <c r="AK213" s="88" t="s">
        <v>339</v>
      </c>
      <c r="AL213" s="88" t="s">
        <v>573</v>
      </c>
      <c r="AM213" s="95"/>
      <c r="AN213" s="96" t="s">
        <v>1930</v>
      </c>
      <c r="AO213" s="84"/>
    </row>
    <row r="214" spans="1:41" s="85" customFormat="1" x14ac:dyDescent="0.25">
      <c r="A214" s="88" t="s">
        <v>294</v>
      </c>
      <c r="B214" s="88" t="s">
        <v>1931</v>
      </c>
      <c r="C214" s="88" t="s">
        <v>42</v>
      </c>
      <c r="D214" s="88" t="s">
        <v>250</v>
      </c>
      <c r="E214" s="88" t="s">
        <v>351</v>
      </c>
      <c r="F214" s="88" t="s">
        <v>332</v>
      </c>
      <c r="G214" s="88" t="s">
        <v>416</v>
      </c>
      <c r="H214" s="88" t="s">
        <v>333</v>
      </c>
      <c r="I214" s="88" t="s">
        <v>586</v>
      </c>
      <c r="J214" s="88" t="s">
        <v>351</v>
      </c>
      <c r="K214" s="92" t="s">
        <v>1932</v>
      </c>
      <c r="L214" s="93"/>
      <c r="M214" s="94" t="s">
        <v>2248</v>
      </c>
      <c r="N214" s="88" t="s">
        <v>79</v>
      </c>
      <c r="O214" s="88" t="s">
        <v>353</v>
      </c>
      <c r="P214" s="88" t="s">
        <v>353</v>
      </c>
      <c r="Q214" s="88" t="s">
        <v>353</v>
      </c>
      <c r="R214" s="88" t="s">
        <v>353</v>
      </c>
      <c r="S214" s="88" t="s">
        <v>335</v>
      </c>
      <c r="T214" s="88" t="s">
        <v>331</v>
      </c>
      <c r="U214" s="88" t="s">
        <v>130</v>
      </c>
      <c r="V214" s="88" t="s">
        <v>339</v>
      </c>
      <c r="W214" s="88" t="s">
        <v>339</v>
      </c>
      <c r="X214" s="88" t="s">
        <v>130</v>
      </c>
      <c r="Y214" s="88" t="s">
        <v>339</v>
      </c>
      <c r="Z214" s="88" t="s">
        <v>339</v>
      </c>
      <c r="AA214" s="95"/>
      <c r="AB214" s="88" t="s">
        <v>1933</v>
      </c>
      <c r="AC214" s="88" t="s">
        <v>1934</v>
      </c>
      <c r="AD214" s="88" t="s">
        <v>353</v>
      </c>
      <c r="AE214" s="88" t="s">
        <v>359</v>
      </c>
      <c r="AF214" s="88" t="s">
        <v>130</v>
      </c>
      <c r="AG214" s="88" t="s">
        <v>353</v>
      </c>
      <c r="AH214" s="88" t="s">
        <v>353</v>
      </c>
      <c r="AI214" s="88" t="s">
        <v>353</v>
      </c>
      <c r="AJ214" s="95"/>
      <c r="AK214" s="88" t="s">
        <v>339</v>
      </c>
      <c r="AL214" s="88" t="s">
        <v>339</v>
      </c>
      <c r="AM214" s="95"/>
      <c r="AN214" s="96" t="s">
        <v>1935</v>
      </c>
      <c r="AO214" s="84"/>
    </row>
    <row r="215" spans="1:41" s="85" customFormat="1" x14ac:dyDescent="0.25">
      <c r="A215" s="88" t="s">
        <v>295</v>
      </c>
      <c r="B215" s="88" t="s">
        <v>1936</v>
      </c>
      <c r="C215" s="88" t="s">
        <v>252</v>
      </c>
      <c r="D215" s="88" t="s">
        <v>43</v>
      </c>
      <c r="E215" s="88" t="s">
        <v>351</v>
      </c>
      <c r="F215" s="88" t="s">
        <v>332</v>
      </c>
      <c r="G215" s="88">
        <v>2005</v>
      </c>
      <c r="H215" s="88" t="s">
        <v>333</v>
      </c>
      <c r="I215" s="88" t="s">
        <v>1937</v>
      </c>
      <c r="J215" s="88" t="s">
        <v>335</v>
      </c>
      <c r="K215" s="92" t="s">
        <v>1938</v>
      </c>
      <c r="L215" s="93"/>
      <c r="M215" s="94" t="s">
        <v>2272</v>
      </c>
      <c r="N215" s="88" t="s">
        <v>73</v>
      </c>
      <c r="O215" s="88" t="s">
        <v>336</v>
      </c>
      <c r="P215" s="88" t="s">
        <v>134</v>
      </c>
      <c r="Q215" s="88" t="s">
        <v>139</v>
      </c>
      <c r="R215" s="88" t="s">
        <v>1939</v>
      </c>
      <c r="S215" s="88" t="s">
        <v>2264</v>
      </c>
      <c r="T215" s="88" t="s">
        <v>331</v>
      </c>
      <c r="U215" s="88" t="s">
        <v>130</v>
      </c>
      <c r="V215" s="88" t="s">
        <v>331</v>
      </c>
      <c r="W215" s="88" t="s">
        <v>351</v>
      </c>
      <c r="X215" s="88" t="s">
        <v>131</v>
      </c>
      <c r="Y215" s="88" t="s">
        <v>339</v>
      </c>
      <c r="Z215" s="88" t="s">
        <v>339</v>
      </c>
      <c r="AA215" s="95"/>
      <c r="AB215" s="88" t="s">
        <v>1940</v>
      </c>
      <c r="AC215" s="88" t="s">
        <v>1941</v>
      </c>
      <c r="AD215" s="88" t="s">
        <v>342</v>
      </c>
      <c r="AE215" s="88" t="s">
        <v>343</v>
      </c>
      <c r="AF215" s="88" t="s">
        <v>130</v>
      </c>
      <c r="AG215" s="88" t="s">
        <v>1942</v>
      </c>
      <c r="AH215" s="88" t="s">
        <v>375</v>
      </c>
      <c r="AI215" s="88" t="s">
        <v>346</v>
      </c>
      <c r="AJ215" s="95"/>
      <c r="AK215" s="88" t="s">
        <v>1943</v>
      </c>
      <c r="AL215" s="88" t="s">
        <v>1944</v>
      </c>
      <c r="AM215" s="95"/>
      <c r="AN215" s="96" t="s">
        <v>1945</v>
      </c>
      <c r="AO215" s="84"/>
    </row>
    <row r="216" spans="1:41" s="85" customFormat="1" x14ac:dyDescent="0.25">
      <c r="A216" s="88" t="s">
        <v>295</v>
      </c>
      <c r="B216" s="88" t="s">
        <v>1946</v>
      </c>
      <c r="C216" s="88" t="s">
        <v>252</v>
      </c>
      <c r="D216" s="88" t="s">
        <v>43</v>
      </c>
      <c r="E216" s="88" t="s">
        <v>351</v>
      </c>
      <c r="F216" s="88" t="s">
        <v>332</v>
      </c>
      <c r="G216" s="88">
        <v>2001</v>
      </c>
      <c r="H216" s="88" t="s">
        <v>333</v>
      </c>
      <c r="I216" s="88" t="s">
        <v>1947</v>
      </c>
      <c r="J216" s="88" t="s">
        <v>351</v>
      </c>
      <c r="K216" s="92" t="s">
        <v>1948</v>
      </c>
      <c r="L216" s="93"/>
      <c r="M216" s="119" t="s">
        <v>2248</v>
      </c>
      <c r="N216" s="88" t="s">
        <v>476</v>
      </c>
      <c r="O216" s="88" t="s">
        <v>98</v>
      </c>
      <c r="P216" s="88" t="s">
        <v>75</v>
      </c>
      <c r="Q216" s="88" t="s">
        <v>76</v>
      </c>
      <c r="R216" s="88" t="s">
        <v>1527</v>
      </c>
      <c r="S216" s="88" t="s">
        <v>130</v>
      </c>
      <c r="T216" s="88" t="s">
        <v>331</v>
      </c>
      <c r="U216" s="88" t="s">
        <v>130</v>
      </c>
      <c r="V216" s="88" t="s">
        <v>351</v>
      </c>
      <c r="W216" s="88" t="s">
        <v>339</v>
      </c>
      <c r="X216" s="88" t="s">
        <v>130</v>
      </c>
      <c r="Y216" s="88" t="s">
        <v>351</v>
      </c>
      <c r="Z216" s="88" t="s">
        <v>512</v>
      </c>
      <c r="AA216" s="95"/>
      <c r="AB216" s="88" t="s">
        <v>1949</v>
      </c>
      <c r="AC216" s="88" t="s">
        <v>1950</v>
      </c>
      <c r="AD216" s="88" t="s">
        <v>1951</v>
      </c>
      <c r="AE216" s="88" t="s">
        <v>394</v>
      </c>
      <c r="AF216" s="88" t="s">
        <v>1952</v>
      </c>
      <c r="AG216" s="88" t="s">
        <v>361</v>
      </c>
      <c r="AH216" s="88" t="s">
        <v>375</v>
      </c>
      <c r="AI216" s="88" t="s">
        <v>1953</v>
      </c>
      <c r="AJ216" s="95"/>
      <c r="AK216" s="88" t="s">
        <v>1954</v>
      </c>
      <c r="AL216" s="88" t="s">
        <v>1955</v>
      </c>
      <c r="AM216" s="95"/>
      <c r="AN216" s="96" t="s">
        <v>1956</v>
      </c>
      <c r="AO216" s="84"/>
    </row>
    <row r="217" spans="1:41" s="85" customFormat="1" x14ac:dyDescent="0.25">
      <c r="A217" s="88" t="s">
        <v>295</v>
      </c>
      <c r="B217" s="88" t="s">
        <v>1957</v>
      </c>
      <c r="C217" s="88" t="s">
        <v>252</v>
      </c>
      <c r="D217" s="88" t="s">
        <v>43</v>
      </c>
      <c r="E217" s="88" t="s">
        <v>351</v>
      </c>
      <c r="F217" s="88" t="s">
        <v>332</v>
      </c>
      <c r="G217" s="88">
        <v>2006</v>
      </c>
      <c r="H217" s="88" t="s">
        <v>333</v>
      </c>
      <c r="I217" s="88" t="s">
        <v>1958</v>
      </c>
      <c r="J217" s="88" t="s">
        <v>351</v>
      </c>
      <c r="K217" s="92" t="s">
        <v>1959</v>
      </c>
      <c r="L217" s="93"/>
      <c r="M217" s="119" t="s">
        <v>2272</v>
      </c>
      <c r="N217" s="88" t="s">
        <v>1553</v>
      </c>
      <c r="O217" s="88" t="s">
        <v>1960</v>
      </c>
      <c r="P217" s="88" t="s">
        <v>602</v>
      </c>
      <c r="Q217" s="88" t="s">
        <v>139</v>
      </c>
      <c r="R217" s="88" t="s">
        <v>138</v>
      </c>
      <c r="S217" s="88" t="s">
        <v>130</v>
      </c>
      <c r="T217" s="88" t="s">
        <v>331</v>
      </c>
      <c r="U217" s="88" t="s">
        <v>130</v>
      </c>
      <c r="V217" s="88" t="s">
        <v>351</v>
      </c>
      <c r="W217" s="88" t="s">
        <v>339</v>
      </c>
      <c r="X217" s="88" t="s">
        <v>130</v>
      </c>
      <c r="Y217" s="88" t="s">
        <v>351</v>
      </c>
      <c r="Z217" s="88" t="s">
        <v>512</v>
      </c>
      <c r="AA217" s="95"/>
      <c r="AB217" s="88" t="s">
        <v>1961</v>
      </c>
      <c r="AC217" s="88" t="s">
        <v>1962</v>
      </c>
      <c r="AD217" s="88" t="s">
        <v>1963</v>
      </c>
      <c r="AE217" s="88" t="s">
        <v>751</v>
      </c>
      <c r="AF217" s="88" t="s">
        <v>1964</v>
      </c>
      <c r="AG217" s="88" t="s">
        <v>542</v>
      </c>
      <c r="AH217" s="88" t="s">
        <v>375</v>
      </c>
      <c r="AI217" s="88" t="s">
        <v>346</v>
      </c>
      <c r="AJ217" s="95"/>
      <c r="AK217" s="88" t="s">
        <v>1965</v>
      </c>
      <c r="AL217" s="88" t="s">
        <v>1966</v>
      </c>
      <c r="AM217" s="95"/>
      <c r="AN217" s="96" t="s">
        <v>1967</v>
      </c>
      <c r="AO217" s="84"/>
    </row>
    <row r="218" spans="1:41" s="85" customFormat="1" x14ac:dyDescent="0.25">
      <c r="A218" s="88" t="s">
        <v>295</v>
      </c>
      <c r="B218" s="88" t="s">
        <v>1968</v>
      </c>
      <c r="C218" s="88" t="s">
        <v>252</v>
      </c>
      <c r="D218" s="88" t="s">
        <v>43</v>
      </c>
      <c r="E218" s="88" t="s">
        <v>351</v>
      </c>
      <c r="F218" s="88" t="s">
        <v>332</v>
      </c>
      <c r="G218" s="88">
        <v>1999</v>
      </c>
      <c r="H218" s="88">
        <v>2007</v>
      </c>
      <c r="I218" s="88" t="s">
        <v>1969</v>
      </c>
      <c r="J218" s="88" t="s">
        <v>351</v>
      </c>
      <c r="K218" s="92" t="s">
        <v>1970</v>
      </c>
      <c r="L218" s="93"/>
      <c r="M218" s="94" t="s">
        <v>2272</v>
      </c>
      <c r="N218" s="88" t="s">
        <v>476</v>
      </c>
      <c r="O218" s="88" t="s">
        <v>110</v>
      </c>
      <c r="P218" s="88" t="s">
        <v>1971</v>
      </c>
      <c r="Q218" s="88" t="s">
        <v>139</v>
      </c>
      <c r="R218" s="88" t="s">
        <v>1972</v>
      </c>
      <c r="S218" s="88" t="s">
        <v>331</v>
      </c>
      <c r="T218" s="88" t="s">
        <v>331</v>
      </c>
      <c r="U218" s="88" t="s">
        <v>130</v>
      </c>
      <c r="V218" s="88" t="s">
        <v>351</v>
      </c>
      <c r="W218" s="88" t="s">
        <v>356</v>
      </c>
      <c r="X218" s="88" t="s">
        <v>130</v>
      </c>
      <c r="Y218" s="88" t="s">
        <v>351</v>
      </c>
      <c r="Z218" s="88" t="s">
        <v>512</v>
      </c>
      <c r="AA218" s="95"/>
      <c r="AB218" s="88" t="s">
        <v>1973</v>
      </c>
      <c r="AC218" s="88" t="s">
        <v>1974</v>
      </c>
      <c r="AD218" s="88" t="s">
        <v>1975</v>
      </c>
      <c r="AE218" s="88" t="s">
        <v>751</v>
      </c>
      <c r="AF218" s="88" t="s">
        <v>130</v>
      </c>
      <c r="AG218" s="88" t="s">
        <v>361</v>
      </c>
      <c r="AH218" s="88" t="s">
        <v>375</v>
      </c>
      <c r="AI218" s="88" t="s">
        <v>346</v>
      </c>
      <c r="AJ218" s="95"/>
      <c r="AK218" s="88" t="s">
        <v>1976</v>
      </c>
      <c r="AL218" s="88" t="s">
        <v>1977</v>
      </c>
      <c r="AM218" s="95"/>
      <c r="AN218" s="96" t="s">
        <v>1978</v>
      </c>
      <c r="AO218" s="84"/>
    </row>
    <row r="219" spans="1:41" s="85" customFormat="1" x14ac:dyDescent="0.25">
      <c r="A219" s="88" t="s">
        <v>296</v>
      </c>
      <c r="B219" s="88" t="s">
        <v>1979</v>
      </c>
      <c r="C219" s="88" t="s">
        <v>197</v>
      </c>
      <c r="D219" s="88" t="s">
        <v>250</v>
      </c>
      <c r="E219" s="88" t="s">
        <v>351</v>
      </c>
      <c r="F219" s="88" t="s">
        <v>332</v>
      </c>
      <c r="G219" s="88">
        <v>2018</v>
      </c>
      <c r="H219" s="88">
        <v>2024</v>
      </c>
      <c r="I219" s="88" t="s">
        <v>1980</v>
      </c>
      <c r="J219" s="88" t="s">
        <v>335</v>
      </c>
      <c r="K219" s="92" t="s">
        <v>1981</v>
      </c>
      <c r="L219" s="93"/>
      <c r="M219" s="94" t="s">
        <v>2252</v>
      </c>
      <c r="N219" s="88" t="s">
        <v>1982</v>
      </c>
      <c r="O219" s="88" t="s">
        <v>1983</v>
      </c>
      <c r="P219" s="88" t="s">
        <v>602</v>
      </c>
      <c r="Q219" s="88" t="s">
        <v>619</v>
      </c>
      <c r="R219" s="88" t="s">
        <v>1984</v>
      </c>
      <c r="S219" s="88" t="s">
        <v>130</v>
      </c>
      <c r="T219" s="88" t="s">
        <v>331</v>
      </c>
      <c r="U219" s="88" t="s">
        <v>130</v>
      </c>
      <c r="V219" s="88" t="s">
        <v>331</v>
      </c>
      <c r="W219" s="88" t="s">
        <v>351</v>
      </c>
      <c r="X219" s="88" t="s">
        <v>338</v>
      </c>
      <c r="Y219" s="88" t="s">
        <v>339</v>
      </c>
      <c r="Z219" s="88" t="s">
        <v>339</v>
      </c>
      <c r="AA219" s="95"/>
      <c r="AB219" s="88" t="s">
        <v>1985</v>
      </c>
      <c r="AC219" s="88" t="s">
        <v>1986</v>
      </c>
      <c r="AD219" s="88" t="s">
        <v>1987</v>
      </c>
      <c r="AE219" s="88" t="s">
        <v>359</v>
      </c>
      <c r="AF219" s="88" t="s">
        <v>677</v>
      </c>
      <c r="AG219" s="88" t="s">
        <v>1988</v>
      </c>
      <c r="AH219" s="88" t="s">
        <v>1989</v>
      </c>
      <c r="AI219" s="88" t="s">
        <v>346</v>
      </c>
      <c r="AJ219" s="95"/>
      <c r="AK219" s="88" t="s">
        <v>339</v>
      </c>
      <c r="AL219" s="88" t="s">
        <v>339</v>
      </c>
      <c r="AM219" s="95"/>
      <c r="AN219" s="96" t="s">
        <v>1990</v>
      </c>
      <c r="AO219" s="84"/>
    </row>
    <row r="220" spans="1:41" s="85" customFormat="1" x14ac:dyDescent="0.25">
      <c r="A220" s="88" t="s">
        <v>296</v>
      </c>
      <c r="B220" s="88" t="s">
        <v>1991</v>
      </c>
      <c r="C220" s="88" t="s">
        <v>197</v>
      </c>
      <c r="D220" s="88" t="s">
        <v>250</v>
      </c>
      <c r="E220" s="88" t="s">
        <v>351</v>
      </c>
      <c r="F220" s="88" t="s">
        <v>332</v>
      </c>
      <c r="G220" s="88">
        <v>1998</v>
      </c>
      <c r="H220" s="88" t="s">
        <v>333</v>
      </c>
      <c r="I220" s="88" t="s">
        <v>1992</v>
      </c>
      <c r="J220" s="88" t="s">
        <v>351</v>
      </c>
      <c r="K220" s="92" t="s">
        <v>1993</v>
      </c>
      <c r="L220" s="93"/>
      <c r="M220" s="94" t="s">
        <v>2248</v>
      </c>
      <c r="N220" s="88" t="s">
        <v>355</v>
      </c>
      <c r="O220" s="88" t="s">
        <v>1994</v>
      </c>
      <c r="P220" s="88" t="s">
        <v>134</v>
      </c>
      <c r="Q220" s="88" t="s">
        <v>139</v>
      </c>
      <c r="R220" s="88" t="s">
        <v>1070</v>
      </c>
      <c r="S220" s="88" t="s">
        <v>331</v>
      </c>
      <c r="T220" s="88" t="s">
        <v>331</v>
      </c>
      <c r="U220" s="88" t="s">
        <v>130</v>
      </c>
      <c r="V220" s="88" t="s">
        <v>339</v>
      </c>
      <c r="W220" s="88" t="s">
        <v>339</v>
      </c>
      <c r="X220" s="88" t="s">
        <v>130</v>
      </c>
      <c r="Y220" s="88" t="s">
        <v>351</v>
      </c>
      <c r="Z220" s="88" t="s">
        <v>512</v>
      </c>
      <c r="AA220" s="95"/>
      <c r="AB220" s="88" t="s">
        <v>1995</v>
      </c>
      <c r="AC220" s="88" t="s">
        <v>1996</v>
      </c>
      <c r="AD220" s="88" t="s">
        <v>342</v>
      </c>
      <c r="AE220" s="88" t="s">
        <v>394</v>
      </c>
      <c r="AF220" s="88" t="s">
        <v>130</v>
      </c>
      <c r="AG220" s="88" t="s">
        <v>361</v>
      </c>
      <c r="AH220" s="88" t="s">
        <v>375</v>
      </c>
      <c r="AI220" s="88" t="s">
        <v>346</v>
      </c>
      <c r="AJ220" s="95"/>
      <c r="AK220" s="88" t="s">
        <v>1997</v>
      </c>
      <c r="AL220" s="88" t="s">
        <v>1998</v>
      </c>
      <c r="AM220" s="95"/>
      <c r="AN220" s="96" t="s">
        <v>1999</v>
      </c>
      <c r="AO220" s="84"/>
    </row>
    <row r="221" spans="1:41" s="85" customFormat="1" x14ac:dyDescent="0.25">
      <c r="A221" s="88" t="s">
        <v>296</v>
      </c>
      <c r="B221" s="88" t="s">
        <v>2000</v>
      </c>
      <c r="C221" s="88" t="s">
        <v>197</v>
      </c>
      <c r="D221" s="88" t="s">
        <v>250</v>
      </c>
      <c r="E221" s="88" t="s">
        <v>351</v>
      </c>
      <c r="F221" s="88" t="s">
        <v>332</v>
      </c>
      <c r="G221" s="101" t="s">
        <v>2001</v>
      </c>
      <c r="H221" s="101" t="s">
        <v>2002</v>
      </c>
      <c r="I221" s="88" t="s">
        <v>2003</v>
      </c>
      <c r="J221" s="88" t="s">
        <v>351</v>
      </c>
      <c r="K221" s="92" t="s">
        <v>2004</v>
      </c>
      <c r="L221" s="93"/>
      <c r="M221" s="94" t="s">
        <v>2272</v>
      </c>
      <c r="N221" s="88" t="s">
        <v>79</v>
      </c>
      <c r="O221" s="88" t="s">
        <v>336</v>
      </c>
      <c r="P221" s="88" t="s">
        <v>81</v>
      </c>
      <c r="Q221" s="88" t="s">
        <v>139</v>
      </c>
      <c r="R221" s="88" t="s">
        <v>138</v>
      </c>
      <c r="S221" s="88" t="s">
        <v>331</v>
      </c>
      <c r="T221" s="88" t="s">
        <v>331</v>
      </c>
      <c r="U221" s="88" t="s">
        <v>130</v>
      </c>
      <c r="V221" s="88" t="s">
        <v>351</v>
      </c>
      <c r="W221" s="88" t="s">
        <v>356</v>
      </c>
      <c r="X221" s="88" t="s">
        <v>130</v>
      </c>
      <c r="Y221" s="88" t="s">
        <v>351</v>
      </c>
      <c r="Z221" s="88" t="s">
        <v>339</v>
      </c>
      <c r="AA221" s="95"/>
      <c r="AB221" s="88" t="s">
        <v>2005</v>
      </c>
      <c r="AC221" s="88" t="s">
        <v>2006</v>
      </c>
      <c r="AD221" s="88" t="s">
        <v>2007</v>
      </c>
      <c r="AE221" s="88" t="s">
        <v>394</v>
      </c>
      <c r="AF221" s="88" t="s">
        <v>130</v>
      </c>
      <c r="AG221" s="88" t="s">
        <v>361</v>
      </c>
      <c r="AH221" s="88" t="s">
        <v>1759</v>
      </c>
      <c r="AI221" s="88" t="s">
        <v>2008</v>
      </c>
      <c r="AJ221" s="95"/>
      <c r="AK221" s="88" t="s">
        <v>2009</v>
      </c>
      <c r="AL221" s="88" t="s">
        <v>2010</v>
      </c>
      <c r="AM221" s="95"/>
      <c r="AN221" s="88" t="s">
        <v>2011</v>
      </c>
      <c r="AO221" s="84"/>
    </row>
    <row r="222" spans="1:41" s="85" customFormat="1" x14ac:dyDescent="0.25">
      <c r="A222" s="88" t="s">
        <v>297</v>
      </c>
      <c r="B222" s="88" t="s">
        <v>2012</v>
      </c>
      <c r="C222" s="88" t="s">
        <v>197</v>
      </c>
      <c r="D222" s="88" t="s">
        <v>250</v>
      </c>
      <c r="E222" s="88" t="s">
        <v>351</v>
      </c>
      <c r="F222" s="88" t="s">
        <v>406</v>
      </c>
      <c r="G222" s="88">
        <v>2009</v>
      </c>
      <c r="H222" s="88" t="s">
        <v>333</v>
      </c>
      <c r="I222" s="88" t="s">
        <v>838</v>
      </c>
      <c r="J222" s="88" t="s">
        <v>335</v>
      </c>
      <c r="K222" s="92" t="s">
        <v>407</v>
      </c>
      <c r="L222" s="93"/>
      <c r="M222" s="119" t="s">
        <v>2252</v>
      </c>
      <c r="N222" s="88" t="s">
        <v>2013</v>
      </c>
      <c r="O222" s="88" t="s">
        <v>2014</v>
      </c>
      <c r="P222" s="88" t="s">
        <v>134</v>
      </c>
      <c r="Q222" s="88" t="s">
        <v>139</v>
      </c>
      <c r="R222" s="88" t="s">
        <v>138</v>
      </c>
      <c r="S222" s="88" t="s">
        <v>331</v>
      </c>
      <c r="T222" s="88" t="s">
        <v>331</v>
      </c>
      <c r="U222" s="88" t="s">
        <v>130</v>
      </c>
      <c r="V222" s="88" t="s">
        <v>331</v>
      </c>
      <c r="W222" s="88" t="s">
        <v>351</v>
      </c>
      <c r="X222" s="88" t="s">
        <v>490</v>
      </c>
      <c r="Y222" s="88" t="s">
        <v>331</v>
      </c>
      <c r="Z222" s="88" t="s">
        <v>331</v>
      </c>
      <c r="AA222" s="95"/>
      <c r="AB222" s="88" t="s">
        <v>2015</v>
      </c>
      <c r="AC222" s="88" t="s">
        <v>2016</v>
      </c>
      <c r="AD222" s="88" t="s">
        <v>342</v>
      </c>
      <c r="AE222" s="88" t="s">
        <v>359</v>
      </c>
      <c r="AF222" s="88" t="s">
        <v>130</v>
      </c>
      <c r="AG222" s="88" t="s">
        <v>2017</v>
      </c>
      <c r="AH222" s="88" t="s">
        <v>375</v>
      </c>
      <c r="AI222" s="88" t="s">
        <v>346</v>
      </c>
      <c r="AJ222" s="95"/>
      <c r="AK222" s="88" t="s">
        <v>339</v>
      </c>
      <c r="AL222" s="88" t="s">
        <v>339</v>
      </c>
      <c r="AM222" s="95"/>
      <c r="AN222" s="96" t="s">
        <v>2018</v>
      </c>
      <c r="AO222" s="84"/>
    </row>
    <row r="223" spans="1:41" s="85" customFormat="1" x14ac:dyDescent="0.25">
      <c r="A223" s="88" t="s">
        <v>297</v>
      </c>
      <c r="B223" s="88" t="s">
        <v>2019</v>
      </c>
      <c r="C223" s="88" t="s">
        <v>197</v>
      </c>
      <c r="D223" s="88" t="s">
        <v>250</v>
      </c>
      <c r="E223" s="88" t="s">
        <v>351</v>
      </c>
      <c r="F223" s="88" t="s">
        <v>406</v>
      </c>
      <c r="G223" s="88" t="s">
        <v>416</v>
      </c>
      <c r="H223" s="88" t="s">
        <v>333</v>
      </c>
      <c r="I223" s="88" t="s">
        <v>353</v>
      </c>
      <c r="J223" s="88" t="s">
        <v>351</v>
      </c>
      <c r="K223" s="92" t="s">
        <v>407</v>
      </c>
      <c r="L223" s="93"/>
      <c r="M223" s="94" t="s">
        <v>2248</v>
      </c>
      <c r="N223" s="88" t="s">
        <v>2020</v>
      </c>
      <c r="O223" s="88" t="s">
        <v>550</v>
      </c>
      <c r="P223" s="88" t="s">
        <v>87</v>
      </c>
      <c r="Q223" s="88" t="s">
        <v>139</v>
      </c>
      <c r="R223" s="88" t="s">
        <v>138</v>
      </c>
      <c r="S223" s="88" t="s">
        <v>331</v>
      </c>
      <c r="T223" s="88" t="s">
        <v>331</v>
      </c>
      <c r="U223" s="88" t="s">
        <v>130</v>
      </c>
      <c r="V223" s="88" t="s">
        <v>331</v>
      </c>
      <c r="W223" s="88" t="s">
        <v>356</v>
      </c>
      <c r="X223" s="88" t="s">
        <v>356</v>
      </c>
      <c r="Y223" s="88" t="s">
        <v>351</v>
      </c>
      <c r="Z223" s="88" t="s">
        <v>512</v>
      </c>
      <c r="AA223" s="95"/>
      <c r="AB223" s="88" t="s">
        <v>2021</v>
      </c>
      <c r="AC223" s="88" t="s">
        <v>2022</v>
      </c>
      <c r="AD223" s="88" t="s">
        <v>596</v>
      </c>
      <c r="AE223" s="88" t="s">
        <v>359</v>
      </c>
      <c r="AF223" s="88" t="s">
        <v>130</v>
      </c>
      <c r="AG223" s="88" t="s">
        <v>361</v>
      </c>
      <c r="AH223" s="88" t="s">
        <v>375</v>
      </c>
      <c r="AI223" s="88" t="s">
        <v>346</v>
      </c>
      <c r="AJ223" s="95"/>
      <c r="AK223" s="88" t="s">
        <v>339</v>
      </c>
      <c r="AL223" s="88" t="s">
        <v>339</v>
      </c>
      <c r="AM223" s="95"/>
      <c r="AN223" s="96" t="s">
        <v>2023</v>
      </c>
      <c r="AO223" s="84"/>
    </row>
    <row r="224" spans="1:41" s="85" customFormat="1" x14ac:dyDescent="0.25">
      <c r="A224" s="88" t="s">
        <v>298</v>
      </c>
      <c r="B224" s="88" t="s">
        <v>2024</v>
      </c>
      <c r="C224" s="88" t="s">
        <v>42</v>
      </c>
      <c r="D224" s="88" t="s">
        <v>43</v>
      </c>
      <c r="E224" s="88" t="s">
        <v>351</v>
      </c>
      <c r="F224" s="88" t="s">
        <v>332</v>
      </c>
      <c r="G224" s="100" t="s">
        <v>2025</v>
      </c>
      <c r="H224" s="88" t="s">
        <v>2026</v>
      </c>
      <c r="I224" s="88" t="s">
        <v>2027</v>
      </c>
      <c r="J224" s="88" t="s">
        <v>351</v>
      </c>
      <c r="K224" s="92" t="s">
        <v>2028</v>
      </c>
      <c r="L224" s="93"/>
      <c r="M224" s="119" t="s">
        <v>2272</v>
      </c>
      <c r="N224" s="88" t="s">
        <v>2029</v>
      </c>
      <c r="O224" s="88" t="s">
        <v>98</v>
      </c>
      <c r="P224" s="88" t="s">
        <v>123</v>
      </c>
      <c r="Q224" s="88" t="s">
        <v>76</v>
      </c>
      <c r="R224" s="88" t="s">
        <v>138</v>
      </c>
      <c r="S224" s="88" t="s">
        <v>331</v>
      </c>
      <c r="T224" s="88" t="s">
        <v>331</v>
      </c>
      <c r="U224" s="88" t="s">
        <v>130</v>
      </c>
      <c r="V224" s="88" t="s">
        <v>331</v>
      </c>
      <c r="W224" s="88" t="s">
        <v>339</v>
      </c>
      <c r="X224" s="88" t="s">
        <v>130</v>
      </c>
      <c r="Y224" s="88" t="s">
        <v>331</v>
      </c>
      <c r="Z224" s="88" t="s">
        <v>339</v>
      </c>
      <c r="AA224" s="95"/>
      <c r="AB224" s="88" t="s">
        <v>2030</v>
      </c>
      <c r="AC224" s="88" t="s">
        <v>2031</v>
      </c>
      <c r="AD224" s="88" t="s">
        <v>342</v>
      </c>
      <c r="AE224" s="88" t="s">
        <v>359</v>
      </c>
      <c r="AF224" s="88" t="s">
        <v>130</v>
      </c>
      <c r="AG224" s="88" t="s">
        <v>361</v>
      </c>
      <c r="AH224" s="88" t="s">
        <v>375</v>
      </c>
      <c r="AI224" s="88" t="s">
        <v>346</v>
      </c>
      <c r="AJ224" s="95"/>
      <c r="AK224" s="88" t="s">
        <v>339</v>
      </c>
      <c r="AL224" s="88" t="s">
        <v>339</v>
      </c>
      <c r="AM224" s="95"/>
      <c r="AN224" s="96" t="s">
        <v>2032</v>
      </c>
      <c r="AO224" s="84"/>
    </row>
    <row r="225" spans="1:41" s="85" customFormat="1" x14ac:dyDescent="0.25">
      <c r="A225" s="88" t="s">
        <v>298</v>
      </c>
      <c r="B225" s="88" t="s">
        <v>2033</v>
      </c>
      <c r="C225" s="88" t="s">
        <v>42</v>
      </c>
      <c r="D225" s="88" t="s">
        <v>43</v>
      </c>
      <c r="E225" s="88" t="s">
        <v>351</v>
      </c>
      <c r="F225" s="88" t="s">
        <v>484</v>
      </c>
      <c r="G225" s="101" t="s">
        <v>2034</v>
      </c>
      <c r="H225" s="88" t="s">
        <v>333</v>
      </c>
      <c r="I225" s="88" t="s">
        <v>586</v>
      </c>
      <c r="J225" s="88" t="s">
        <v>335</v>
      </c>
      <c r="K225" s="92" t="s">
        <v>2035</v>
      </c>
      <c r="L225" s="93"/>
      <c r="M225" s="94" t="s">
        <v>2272</v>
      </c>
      <c r="N225" s="88" t="s">
        <v>73</v>
      </c>
      <c r="O225" s="88" t="s">
        <v>336</v>
      </c>
      <c r="P225" s="88" t="s">
        <v>134</v>
      </c>
      <c r="Q225" s="88" t="s">
        <v>2036</v>
      </c>
      <c r="R225" s="88" t="s">
        <v>138</v>
      </c>
      <c r="S225" s="88" t="s">
        <v>331</v>
      </c>
      <c r="T225" s="88" t="s">
        <v>331</v>
      </c>
      <c r="U225" s="88" t="s">
        <v>130</v>
      </c>
      <c r="V225" s="88" t="s">
        <v>331</v>
      </c>
      <c r="W225" s="88" t="s">
        <v>339</v>
      </c>
      <c r="X225" s="88" t="s">
        <v>130</v>
      </c>
      <c r="Y225" s="88" t="s">
        <v>331</v>
      </c>
      <c r="Z225" s="88" t="s">
        <v>339</v>
      </c>
      <c r="AA225" s="95"/>
      <c r="AB225" s="88" t="s">
        <v>2037</v>
      </c>
      <c r="AC225" s="88" t="s">
        <v>2038</v>
      </c>
      <c r="AD225" s="88" t="s">
        <v>342</v>
      </c>
      <c r="AE225" s="88" t="s">
        <v>359</v>
      </c>
      <c r="AF225" s="88" t="s">
        <v>130</v>
      </c>
      <c r="AG225" s="88" t="s">
        <v>361</v>
      </c>
      <c r="AH225" s="88" t="s">
        <v>2039</v>
      </c>
      <c r="AI225" s="88" t="s">
        <v>346</v>
      </c>
      <c r="AJ225" s="95"/>
      <c r="AK225" s="88" t="s">
        <v>339</v>
      </c>
      <c r="AL225" s="88" t="s">
        <v>339</v>
      </c>
      <c r="AM225" s="95"/>
      <c r="AN225" s="96" t="s">
        <v>2040</v>
      </c>
      <c r="AO225" s="84"/>
    </row>
    <row r="226" spans="1:41" s="85" customFormat="1" x14ac:dyDescent="0.25">
      <c r="A226" s="88" t="s">
        <v>298</v>
      </c>
      <c r="B226" s="88" t="s">
        <v>2041</v>
      </c>
      <c r="C226" s="88" t="s">
        <v>42</v>
      </c>
      <c r="D226" s="88" t="s">
        <v>43</v>
      </c>
      <c r="E226" s="88" t="s">
        <v>351</v>
      </c>
      <c r="F226" s="88" t="s">
        <v>484</v>
      </c>
      <c r="G226" s="88" t="s">
        <v>416</v>
      </c>
      <c r="H226" s="88" t="s">
        <v>333</v>
      </c>
      <c r="I226" s="88" t="s">
        <v>2042</v>
      </c>
      <c r="J226" s="88" t="s">
        <v>351</v>
      </c>
      <c r="K226" s="92" t="s">
        <v>2035</v>
      </c>
      <c r="L226" s="93"/>
      <c r="M226" s="94" t="s">
        <v>2272</v>
      </c>
      <c r="N226" s="88" t="s">
        <v>73</v>
      </c>
      <c r="O226" s="88" t="s">
        <v>336</v>
      </c>
      <c r="P226" s="88" t="s">
        <v>81</v>
      </c>
      <c r="Q226" s="88" t="s">
        <v>2036</v>
      </c>
      <c r="R226" s="88" t="s">
        <v>138</v>
      </c>
      <c r="S226" s="88" t="s">
        <v>331</v>
      </c>
      <c r="T226" s="88" t="s">
        <v>331</v>
      </c>
      <c r="U226" s="88" t="s">
        <v>130</v>
      </c>
      <c r="V226" s="88" t="s">
        <v>331</v>
      </c>
      <c r="W226" s="88" t="s">
        <v>339</v>
      </c>
      <c r="X226" s="88" t="s">
        <v>130</v>
      </c>
      <c r="Y226" s="88" t="s">
        <v>331</v>
      </c>
      <c r="Z226" s="88" t="s">
        <v>339</v>
      </c>
      <c r="AA226" s="95"/>
      <c r="AB226" s="88" t="s">
        <v>2043</v>
      </c>
      <c r="AC226" s="88" t="s">
        <v>2044</v>
      </c>
      <c r="AD226" s="88" t="s">
        <v>342</v>
      </c>
      <c r="AE226" s="88" t="s">
        <v>359</v>
      </c>
      <c r="AF226" s="88" t="s">
        <v>130</v>
      </c>
      <c r="AG226" s="88" t="s">
        <v>361</v>
      </c>
      <c r="AH226" s="88" t="s">
        <v>375</v>
      </c>
      <c r="AI226" s="88" t="s">
        <v>346</v>
      </c>
      <c r="AJ226" s="95"/>
      <c r="AK226" s="88" t="s">
        <v>339</v>
      </c>
      <c r="AL226" s="88" t="s">
        <v>339</v>
      </c>
      <c r="AM226" s="95"/>
      <c r="AN226" s="96" t="s">
        <v>2045</v>
      </c>
      <c r="AO226" s="84"/>
    </row>
    <row r="227" spans="1:41" s="85" customFormat="1" x14ac:dyDescent="0.25">
      <c r="A227" s="88" t="s">
        <v>298</v>
      </c>
      <c r="B227" s="88" t="s">
        <v>2046</v>
      </c>
      <c r="C227" s="88" t="s">
        <v>42</v>
      </c>
      <c r="D227" s="88" t="s">
        <v>43</v>
      </c>
      <c r="E227" s="88" t="s">
        <v>351</v>
      </c>
      <c r="F227" s="88" t="s">
        <v>399</v>
      </c>
      <c r="G227" s="88">
        <v>1997</v>
      </c>
      <c r="H227" s="88" t="s">
        <v>333</v>
      </c>
      <c r="I227" s="88" t="s">
        <v>353</v>
      </c>
      <c r="J227" s="88" t="s">
        <v>335</v>
      </c>
      <c r="K227" s="92" t="s">
        <v>2047</v>
      </c>
      <c r="L227" s="93"/>
      <c r="M227" s="119" t="s">
        <v>2272</v>
      </c>
      <c r="N227" s="88" t="s">
        <v>79</v>
      </c>
      <c r="O227" s="88" t="s">
        <v>336</v>
      </c>
      <c r="P227" s="88" t="s">
        <v>134</v>
      </c>
      <c r="Q227" s="88" t="s">
        <v>1536</v>
      </c>
      <c r="R227" s="88" t="s">
        <v>77</v>
      </c>
      <c r="S227" s="88" t="s">
        <v>335</v>
      </c>
      <c r="T227" s="88" t="s">
        <v>331</v>
      </c>
      <c r="U227" s="88" t="s">
        <v>130</v>
      </c>
      <c r="V227" s="88" t="s">
        <v>331</v>
      </c>
      <c r="W227" s="88" t="s">
        <v>351</v>
      </c>
      <c r="X227" s="88" t="s">
        <v>1499</v>
      </c>
      <c r="Y227" s="88" t="s">
        <v>339</v>
      </c>
      <c r="Z227" s="88" t="s">
        <v>339</v>
      </c>
      <c r="AA227" s="95"/>
      <c r="AB227" s="88" t="s">
        <v>2048</v>
      </c>
      <c r="AC227" s="88" t="s">
        <v>2049</v>
      </c>
      <c r="AD227" s="88" t="s">
        <v>529</v>
      </c>
      <c r="AE227" s="88" t="s">
        <v>359</v>
      </c>
      <c r="AF227" s="88" t="s">
        <v>130</v>
      </c>
      <c r="AG227" s="88" t="s">
        <v>2050</v>
      </c>
      <c r="AH227" s="88" t="s">
        <v>375</v>
      </c>
      <c r="AI227" s="88" t="s">
        <v>346</v>
      </c>
      <c r="AJ227" s="95"/>
      <c r="AK227" s="88" t="s">
        <v>339</v>
      </c>
      <c r="AL227" s="88" t="s">
        <v>339</v>
      </c>
      <c r="AM227" s="95"/>
      <c r="AN227" s="88" t="s">
        <v>2051</v>
      </c>
      <c r="AO227" s="84"/>
    </row>
    <row r="228" spans="1:41" s="85" customFormat="1" x14ac:dyDescent="0.25">
      <c r="A228" s="88" t="s">
        <v>298</v>
      </c>
      <c r="B228" s="88" t="s">
        <v>2052</v>
      </c>
      <c r="C228" s="88" t="s">
        <v>42</v>
      </c>
      <c r="D228" s="88" t="s">
        <v>43</v>
      </c>
      <c r="E228" s="88" t="s">
        <v>351</v>
      </c>
      <c r="F228" s="88" t="s">
        <v>387</v>
      </c>
      <c r="G228" s="88">
        <v>2000</v>
      </c>
      <c r="H228" s="88" t="s">
        <v>333</v>
      </c>
      <c r="I228" s="88" t="s">
        <v>353</v>
      </c>
      <c r="J228" s="88" t="s">
        <v>351</v>
      </c>
      <c r="K228" s="92" t="s">
        <v>2053</v>
      </c>
      <c r="L228" s="93"/>
      <c r="M228" s="94" t="s">
        <v>2248</v>
      </c>
      <c r="N228" s="88" t="s">
        <v>73</v>
      </c>
      <c r="O228" s="88" t="s">
        <v>336</v>
      </c>
      <c r="P228" s="88" t="s">
        <v>134</v>
      </c>
      <c r="Q228" s="88" t="s">
        <v>82</v>
      </c>
      <c r="R228" s="88" t="s">
        <v>138</v>
      </c>
      <c r="S228" s="88" t="s">
        <v>331</v>
      </c>
      <c r="T228" s="88" t="s">
        <v>331</v>
      </c>
      <c r="U228" s="88" t="s">
        <v>130</v>
      </c>
      <c r="V228" s="88" t="s">
        <v>351</v>
      </c>
      <c r="W228" s="88" t="s">
        <v>356</v>
      </c>
      <c r="X228" s="88" t="s">
        <v>130</v>
      </c>
      <c r="Y228" s="88" t="s">
        <v>339</v>
      </c>
      <c r="Z228" s="88" t="s">
        <v>339</v>
      </c>
      <c r="AA228" s="95"/>
      <c r="AB228" s="88" t="s">
        <v>2054</v>
      </c>
      <c r="AC228" s="88" t="s">
        <v>2055</v>
      </c>
      <c r="AD228" s="88" t="s">
        <v>529</v>
      </c>
      <c r="AE228" s="88" t="s">
        <v>359</v>
      </c>
      <c r="AF228" s="88" t="s">
        <v>130</v>
      </c>
      <c r="AG228" s="88" t="s">
        <v>361</v>
      </c>
      <c r="AH228" s="88" t="s">
        <v>375</v>
      </c>
      <c r="AI228" s="88" t="s">
        <v>346</v>
      </c>
      <c r="AJ228" s="95"/>
      <c r="AK228" s="88" t="s">
        <v>2056</v>
      </c>
      <c r="AL228" s="88" t="s">
        <v>339</v>
      </c>
      <c r="AM228" s="95"/>
      <c r="AN228" s="88" t="s">
        <v>2057</v>
      </c>
      <c r="AO228" s="84"/>
    </row>
    <row r="229" spans="1:41" s="85" customFormat="1" x14ac:dyDescent="0.25">
      <c r="A229" s="88" t="s">
        <v>299</v>
      </c>
      <c r="B229" s="88" t="s">
        <v>2058</v>
      </c>
      <c r="C229" s="88" t="s">
        <v>252</v>
      </c>
      <c r="D229" s="88" t="s">
        <v>250</v>
      </c>
      <c r="E229" s="88" t="s">
        <v>351</v>
      </c>
      <c r="F229" s="88" t="s">
        <v>387</v>
      </c>
      <c r="G229" s="88">
        <v>2020</v>
      </c>
      <c r="H229" s="88">
        <v>2021</v>
      </c>
      <c r="I229" s="88" t="s">
        <v>2059</v>
      </c>
      <c r="J229" s="88" t="s">
        <v>351</v>
      </c>
      <c r="K229" s="92" t="s">
        <v>2060</v>
      </c>
      <c r="L229" s="93"/>
      <c r="M229" s="94" t="s">
        <v>2272</v>
      </c>
      <c r="N229" s="88" t="s">
        <v>2061</v>
      </c>
      <c r="O229" s="88" t="s">
        <v>110</v>
      </c>
      <c r="P229" s="88" t="s">
        <v>2062</v>
      </c>
      <c r="Q229" s="88" t="s">
        <v>2063</v>
      </c>
      <c r="R229" s="88" t="s">
        <v>2064</v>
      </c>
      <c r="S229" s="88" t="s">
        <v>331</v>
      </c>
      <c r="T229" s="88" t="s">
        <v>351</v>
      </c>
      <c r="U229" s="88" t="s">
        <v>78</v>
      </c>
      <c r="V229" s="88" t="s">
        <v>339</v>
      </c>
      <c r="W229" s="88" t="s">
        <v>356</v>
      </c>
      <c r="X229" s="88" t="s">
        <v>130</v>
      </c>
      <c r="Y229" s="88" t="s">
        <v>351</v>
      </c>
      <c r="Z229" s="88" t="s">
        <v>380</v>
      </c>
      <c r="AA229" s="95"/>
      <c r="AB229" s="88" t="s">
        <v>2065</v>
      </c>
      <c r="AC229" s="88" t="s">
        <v>2066</v>
      </c>
      <c r="AD229" s="88" t="s">
        <v>2067</v>
      </c>
      <c r="AE229" s="88" t="s">
        <v>448</v>
      </c>
      <c r="AF229" s="88" t="s">
        <v>130</v>
      </c>
      <c r="AG229" s="88" t="s">
        <v>542</v>
      </c>
      <c r="AH229" s="88" t="s">
        <v>528</v>
      </c>
      <c r="AI229" s="88" t="s">
        <v>544</v>
      </c>
      <c r="AJ229" s="95"/>
      <c r="AK229" s="88" t="s">
        <v>529</v>
      </c>
      <c r="AL229" s="88" t="s">
        <v>529</v>
      </c>
      <c r="AM229" s="95"/>
      <c r="AN229" s="96" t="s">
        <v>2068</v>
      </c>
      <c r="AO229" s="84"/>
    </row>
    <row r="230" spans="1:41" s="85" customFormat="1" x14ac:dyDescent="0.25">
      <c r="A230" s="88" t="s">
        <v>299</v>
      </c>
      <c r="B230" s="88" t="s">
        <v>2069</v>
      </c>
      <c r="C230" s="88" t="s">
        <v>252</v>
      </c>
      <c r="D230" s="88" t="s">
        <v>250</v>
      </c>
      <c r="E230" s="88" t="s">
        <v>351</v>
      </c>
      <c r="F230" s="88" t="s">
        <v>387</v>
      </c>
      <c r="G230" s="88">
        <v>2009</v>
      </c>
      <c r="H230" s="88">
        <v>2014</v>
      </c>
      <c r="I230" s="88" t="s">
        <v>2070</v>
      </c>
      <c r="J230" s="88" t="s">
        <v>351</v>
      </c>
      <c r="K230" s="92" t="s">
        <v>2070</v>
      </c>
      <c r="L230" s="93"/>
      <c r="M230" s="94" t="s">
        <v>2272</v>
      </c>
      <c r="N230" s="88" t="s">
        <v>1921</v>
      </c>
      <c r="O230" s="88" t="s">
        <v>98</v>
      </c>
      <c r="P230" s="88" t="s">
        <v>2071</v>
      </c>
      <c r="Q230" s="88" t="s">
        <v>139</v>
      </c>
      <c r="R230" s="88" t="s">
        <v>1555</v>
      </c>
      <c r="S230" s="88" t="s">
        <v>331</v>
      </c>
      <c r="T230" s="88" t="s">
        <v>331</v>
      </c>
      <c r="U230" s="88" t="s">
        <v>130</v>
      </c>
      <c r="V230" s="88" t="s">
        <v>351</v>
      </c>
      <c r="W230" s="88" t="s">
        <v>356</v>
      </c>
      <c r="X230" s="88" t="s">
        <v>130</v>
      </c>
      <c r="Y230" s="88" t="s">
        <v>351</v>
      </c>
      <c r="Z230" s="88" t="s">
        <v>339</v>
      </c>
      <c r="AA230" s="95"/>
      <c r="AB230" s="88" t="s">
        <v>2072</v>
      </c>
      <c r="AC230" s="88" t="s">
        <v>2073</v>
      </c>
      <c r="AD230" s="88" t="s">
        <v>2074</v>
      </c>
      <c r="AE230" s="88" t="s">
        <v>751</v>
      </c>
      <c r="AF230" s="88" t="s">
        <v>130</v>
      </c>
      <c r="AG230" s="88" t="s">
        <v>542</v>
      </c>
      <c r="AH230" s="88" t="s">
        <v>528</v>
      </c>
      <c r="AI230" s="88" t="s">
        <v>346</v>
      </c>
      <c r="AJ230" s="95"/>
      <c r="AK230" s="88" t="s">
        <v>2075</v>
      </c>
      <c r="AL230" s="88" t="s">
        <v>529</v>
      </c>
      <c r="AM230" s="95"/>
      <c r="AN230" s="96" t="s">
        <v>2076</v>
      </c>
      <c r="AO230" s="84"/>
    </row>
    <row r="231" spans="1:41" s="85" customFormat="1" x14ac:dyDescent="0.25">
      <c r="A231" s="88" t="s">
        <v>299</v>
      </c>
      <c r="B231" s="88" t="s">
        <v>2077</v>
      </c>
      <c r="C231" s="88" t="s">
        <v>252</v>
      </c>
      <c r="D231" s="88" t="s">
        <v>250</v>
      </c>
      <c r="E231" s="88" t="s">
        <v>351</v>
      </c>
      <c r="F231" s="88" t="s">
        <v>387</v>
      </c>
      <c r="G231" s="88">
        <v>2004</v>
      </c>
      <c r="H231" s="88">
        <v>2008</v>
      </c>
      <c r="I231" s="88" t="s">
        <v>2078</v>
      </c>
      <c r="J231" s="88" t="s">
        <v>335</v>
      </c>
      <c r="K231" s="92" t="s">
        <v>2079</v>
      </c>
      <c r="L231" s="93"/>
      <c r="M231" s="94" t="s">
        <v>2270</v>
      </c>
      <c r="N231" s="88" t="s">
        <v>2080</v>
      </c>
      <c r="O231" s="88" t="s">
        <v>2081</v>
      </c>
      <c r="P231" s="88" t="s">
        <v>2071</v>
      </c>
      <c r="Q231" s="88" t="s">
        <v>2082</v>
      </c>
      <c r="R231" s="88" t="s">
        <v>2083</v>
      </c>
      <c r="S231" s="88" t="s">
        <v>331</v>
      </c>
      <c r="T231" s="88" t="s">
        <v>331</v>
      </c>
      <c r="U231" s="88" t="s">
        <v>130</v>
      </c>
      <c r="V231" s="88" t="s">
        <v>331</v>
      </c>
      <c r="W231" s="88" t="s">
        <v>356</v>
      </c>
      <c r="X231" s="88" t="s">
        <v>130</v>
      </c>
      <c r="Y231" s="88" t="s">
        <v>351</v>
      </c>
      <c r="Z231" s="88" t="s">
        <v>512</v>
      </c>
      <c r="AA231" s="95"/>
      <c r="AB231" s="88" t="s">
        <v>2084</v>
      </c>
      <c r="AC231" s="88" t="s">
        <v>2085</v>
      </c>
      <c r="AD231" s="88" t="s">
        <v>342</v>
      </c>
      <c r="AE231" s="88" t="s">
        <v>448</v>
      </c>
      <c r="AF231" s="88" t="s">
        <v>130</v>
      </c>
      <c r="AG231" s="88" t="s">
        <v>542</v>
      </c>
      <c r="AH231" s="88" t="s">
        <v>528</v>
      </c>
      <c r="AI231" s="88" t="s">
        <v>346</v>
      </c>
      <c r="AJ231" s="95"/>
      <c r="AK231" s="88" t="s">
        <v>529</v>
      </c>
      <c r="AL231" s="88" t="s">
        <v>529</v>
      </c>
      <c r="AM231" s="95"/>
      <c r="AN231" s="96" t="s">
        <v>2086</v>
      </c>
      <c r="AO231" s="84"/>
    </row>
    <row r="232" spans="1:41" s="85" customFormat="1" x14ac:dyDescent="0.25">
      <c r="A232" s="88" t="s">
        <v>299</v>
      </c>
      <c r="B232" s="88" t="s">
        <v>2087</v>
      </c>
      <c r="C232" s="88" t="s">
        <v>252</v>
      </c>
      <c r="D232" s="88" t="s">
        <v>250</v>
      </c>
      <c r="E232" s="88" t="s">
        <v>351</v>
      </c>
      <c r="F232" s="88" t="s">
        <v>387</v>
      </c>
      <c r="G232" s="88">
        <v>2017</v>
      </c>
      <c r="H232" s="88">
        <v>2022</v>
      </c>
      <c r="I232" s="88" t="s">
        <v>2088</v>
      </c>
      <c r="J232" s="88" t="s">
        <v>335</v>
      </c>
      <c r="K232" s="92" t="s">
        <v>2088</v>
      </c>
      <c r="L232" s="93"/>
      <c r="M232" s="94" t="s">
        <v>2270</v>
      </c>
      <c r="N232" s="88" t="s">
        <v>629</v>
      </c>
      <c r="O232" s="88" t="s">
        <v>2089</v>
      </c>
      <c r="P232" s="88" t="s">
        <v>2090</v>
      </c>
      <c r="Q232" s="88" t="s">
        <v>1107</v>
      </c>
      <c r="R232" s="88" t="s">
        <v>138</v>
      </c>
      <c r="S232" s="88" t="s">
        <v>331</v>
      </c>
      <c r="T232" s="88" t="s">
        <v>331</v>
      </c>
      <c r="U232" s="88" t="s">
        <v>523</v>
      </c>
      <c r="V232" s="88" t="s">
        <v>351</v>
      </c>
      <c r="W232" s="88" t="s">
        <v>356</v>
      </c>
      <c r="X232" s="88" t="s">
        <v>130</v>
      </c>
      <c r="Y232" s="88" t="s">
        <v>351</v>
      </c>
      <c r="Z232" s="88" t="s">
        <v>380</v>
      </c>
      <c r="AA232" s="95"/>
      <c r="AB232" s="88" t="s">
        <v>2091</v>
      </c>
      <c r="AC232" s="88" t="s">
        <v>2092</v>
      </c>
      <c r="AD232" s="88" t="s">
        <v>2093</v>
      </c>
      <c r="AE232" s="88" t="s">
        <v>448</v>
      </c>
      <c r="AF232" s="88" t="s">
        <v>130</v>
      </c>
      <c r="AG232" s="88" t="s">
        <v>542</v>
      </c>
      <c r="AH232" s="88" t="s">
        <v>2094</v>
      </c>
      <c r="AI232" s="88" t="s">
        <v>346</v>
      </c>
      <c r="AJ232" s="95"/>
      <c r="AK232" s="88" t="s">
        <v>529</v>
      </c>
      <c r="AL232" s="88" t="s">
        <v>529</v>
      </c>
      <c r="AM232" s="95"/>
      <c r="AN232" s="96" t="s">
        <v>2095</v>
      </c>
      <c r="AO232" s="84"/>
    </row>
    <row r="233" spans="1:41" s="85" customFormat="1" x14ac:dyDescent="0.25">
      <c r="A233" s="88" t="s">
        <v>299</v>
      </c>
      <c r="B233" s="88" t="s">
        <v>2096</v>
      </c>
      <c r="C233" s="88" t="s">
        <v>252</v>
      </c>
      <c r="D233" s="88" t="s">
        <v>250</v>
      </c>
      <c r="E233" s="88" t="s">
        <v>351</v>
      </c>
      <c r="F233" s="88" t="s">
        <v>387</v>
      </c>
      <c r="G233" s="88">
        <v>2017</v>
      </c>
      <c r="H233" s="88">
        <v>2022</v>
      </c>
      <c r="I233" s="88" t="s">
        <v>2097</v>
      </c>
      <c r="J233" s="88" t="s">
        <v>335</v>
      </c>
      <c r="K233" s="92" t="s">
        <v>2079</v>
      </c>
      <c r="L233" s="93"/>
      <c r="M233" s="94" t="s">
        <v>2270</v>
      </c>
      <c r="N233" s="88" t="s">
        <v>121</v>
      </c>
      <c r="O233" s="88" t="s">
        <v>2098</v>
      </c>
      <c r="P233" s="88" t="s">
        <v>789</v>
      </c>
      <c r="Q233" s="88" t="s">
        <v>2099</v>
      </c>
      <c r="R233" s="88" t="s">
        <v>138</v>
      </c>
      <c r="S233" s="88" t="s">
        <v>2265</v>
      </c>
      <c r="T233" s="88" t="s">
        <v>331</v>
      </c>
      <c r="U233" s="88" t="s">
        <v>130</v>
      </c>
      <c r="V233" s="88" t="s">
        <v>351</v>
      </c>
      <c r="W233" s="88" t="s">
        <v>351</v>
      </c>
      <c r="X233" s="88" t="s">
        <v>461</v>
      </c>
      <c r="Y233" s="88" t="s">
        <v>351</v>
      </c>
      <c r="Z233" s="88" t="s">
        <v>380</v>
      </c>
      <c r="AA233" s="95"/>
      <c r="AB233" s="88" t="s">
        <v>2100</v>
      </c>
      <c r="AC233" s="88" t="s">
        <v>2101</v>
      </c>
      <c r="AD233" s="88" t="s">
        <v>2102</v>
      </c>
      <c r="AE233" s="88" t="s">
        <v>448</v>
      </c>
      <c r="AF233" s="88" t="s">
        <v>130</v>
      </c>
      <c r="AG233" s="88" t="s">
        <v>466</v>
      </c>
      <c r="AH233" s="88" t="s">
        <v>375</v>
      </c>
      <c r="AI233" s="88" t="s">
        <v>346</v>
      </c>
      <c r="AJ233" s="95"/>
      <c r="AK233" s="88" t="s">
        <v>339</v>
      </c>
      <c r="AL233" s="88" t="s">
        <v>339</v>
      </c>
      <c r="AM233" s="95"/>
      <c r="AN233" s="96" t="s">
        <v>2103</v>
      </c>
      <c r="AO233" s="84"/>
    </row>
    <row r="234" spans="1:41" s="85" customFormat="1" x14ac:dyDescent="0.25">
      <c r="A234" s="88" t="s">
        <v>299</v>
      </c>
      <c r="B234" s="88" t="s">
        <v>2104</v>
      </c>
      <c r="C234" s="88" t="s">
        <v>252</v>
      </c>
      <c r="D234" s="88" t="s">
        <v>250</v>
      </c>
      <c r="E234" s="88" t="s">
        <v>351</v>
      </c>
      <c r="F234" s="88" t="s">
        <v>332</v>
      </c>
      <c r="G234" s="88">
        <v>2008</v>
      </c>
      <c r="H234" s="88">
        <v>2018</v>
      </c>
      <c r="I234" s="88" t="s">
        <v>2059</v>
      </c>
      <c r="J234" s="88" t="s">
        <v>335</v>
      </c>
      <c r="K234" s="92" t="s">
        <v>2105</v>
      </c>
      <c r="L234" s="93"/>
      <c r="M234" s="94" t="s">
        <v>2270</v>
      </c>
      <c r="N234" s="88" t="s">
        <v>121</v>
      </c>
      <c r="O234" s="88" t="s">
        <v>98</v>
      </c>
      <c r="P234" s="88" t="s">
        <v>1364</v>
      </c>
      <c r="Q234" s="88" t="s">
        <v>2106</v>
      </c>
      <c r="R234" s="88" t="s">
        <v>138</v>
      </c>
      <c r="S234" s="88" t="s">
        <v>2265</v>
      </c>
      <c r="T234" s="88" t="s">
        <v>331</v>
      </c>
      <c r="U234" s="88" t="s">
        <v>523</v>
      </c>
      <c r="V234" s="88" t="s">
        <v>351</v>
      </c>
      <c r="W234" s="88" t="s">
        <v>356</v>
      </c>
      <c r="X234" s="88" t="s">
        <v>130</v>
      </c>
      <c r="Y234" s="88" t="s">
        <v>351</v>
      </c>
      <c r="Z234" s="88" t="s">
        <v>380</v>
      </c>
      <c r="AA234" s="95"/>
      <c r="AB234" s="88" t="s">
        <v>2107</v>
      </c>
      <c r="AC234" s="88" t="s">
        <v>2108</v>
      </c>
      <c r="AD234" s="88" t="s">
        <v>2109</v>
      </c>
      <c r="AE234" s="88" t="s">
        <v>359</v>
      </c>
      <c r="AF234" s="88" t="s">
        <v>130</v>
      </c>
      <c r="AG234" s="88" t="s">
        <v>361</v>
      </c>
      <c r="AH234" s="88" t="s">
        <v>528</v>
      </c>
      <c r="AI234" s="88" t="s">
        <v>346</v>
      </c>
      <c r="AJ234" s="95"/>
      <c r="AK234" s="88" t="s">
        <v>529</v>
      </c>
      <c r="AL234" s="88" t="s">
        <v>529</v>
      </c>
      <c r="AM234" s="95"/>
      <c r="AN234" s="96" t="s">
        <v>2110</v>
      </c>
      <c r="AO234" s="84"/>
    </row>
    <row r="235" spans="1:41" s="85" customFormat="1" ht="26.25" x14ac:dyDescent="0.25">
      <c r="A235" s="88" t="s">
        <v>299</v>
      </c>
      <c r="B235" s="116" t="s">
        <v>2111</v>
      </c>
      <c r="C235" s="88" t="s">
        <v>252</v>
      </c>
      <c r="D235" s="88" t="s">
        <v>250</v>
      </c>
      <c r="E235" s="88" t="s">
        <v>351</v>
      </c>
      <c r="F235" s="88" t="s">
        <v>332</v>
      </c>
      <c r="G235" s="88">
        <v>2015</v>
      </c>
      <c r="H235" s="88">
        <v>2025</v>
      </c>
      <c r="I235" s="88" t="s">
        <v>2059</v>
      </c>
      <c r="J235" s="88" t="s">
        <v>335</v>
      </c>
      <c r="K235" s="92" t="s">
        <v>2112</v>
      </c>
      <c r="L235" s="93"/>
      <c r="M235" s="119" t="s">
        <v>2252</v>
      </c>
      <c r="N235" s="88" t="s">
        <v>2113</v>
      </c>
      <c r="O235" s="88" t="s">
        <v>684</v>
      </c>
      <c r="P235" s="88" t="s">
        <v>2114</v>
      </c>
      <c r="Q235" s="88" t="s">
        <v>2115</v>
      </c>
      <c r="R235" s="88" t="s">
        <v>101</v>
      </c>
      <c r="S235" s="88" t="s">
        <v>2265</v>
      </c>
      <c r="T235" s="88" t="s">
        <v>331</v>
      </c>
      <c r="U235" s="88" t="s">
        <v>523</v>
      </c>
      <c r="V235" s="88" t="s">
        <v>339</v>
      </c>
      <c r="W235" s="88" t="s">
        <v>351</v>
      </c>
      <c r="X235" s="88" t="s">
        <v>338</v>
      </c>
      <c r="Y235" s="88" t="s">
        <v>351</v>
      </c>
      <c r="Z235" s="88" t="s">
        <v>380</v>
      </c>
      <c r="AA235" s="95"/>
      <c r="AB235" s="88" t="s">
        <v>2116</v>
      </c>
      <c r="AC235" s="88" t="s">
        <v>2117</v>
      </c>
      <c r="AD235" s="88" t="s">
        <v>2118</v>
      </c>
      <c r="AE235" s="88" t="s">
        <v>359</v>
      </c>
      <c r="AF235" s="88" t="s">
        <v>130</v>
      </c>
      <c r="AG235" s="88" t="s">
        <v>2119</v>
      </c>
      <c r="AH235" s="88" t="s">
        <v>528</v>
      </c>
      <c r="AI235" s="88" t="s">
        <v>346</v>
      </c>
      <c r="AJ235" s="95"/>
      <c r="AK235" s="88" t="s">
        <v>529</v>
      </c>
      <c r="AL235" s="88" t="s">
        <v>529</v>
      </c>
      <c r="AM235" s="95"/>
      <c r="AN235" s="96" t="s">
        <v>2120</v>
      </c>
      <c r="AO235" s="84"/>
    </row>
    <row r="236" spans="1:41" s="85" customFormat="1" x14ac:dyDescent="0.25">
      <c r="A236" s="88" t="s">
        <v>299</v>
      </c>
      <c r="B236" s="88" t="s">
        <v>2121</v>
      </c>
      <c r="C236" s="88" t="s">
        <v>252</v>
      </c>
      <c r="D236" s="88" t="s">
        <v>250</v>
      </c>
      <c r="E236" s="88" t="s">
        <v>351</v>
      </c>
      <c r="F236" s="88" t="s">
        <v>332</v>
      </c>
      <c r="G236" s="88">
        <v>2015</v>
      </c>
      <c r="H236" s="88">
        <v>2020</v>
      </c>
      <c r="I236" s="88" t="s">
        <v>2122</v>
      </c>
      <c r="J236" s="88" t="s">
        <v>335</v>
      </c>
      <c r="K236" s="92" t="s">
        <v>2123</v>
      </c>
      <c r="L236" s="93"/>
      <c r="M236" s="94" t="s">
        <v>2270</v>
      </c>
      <c r="N236" s="88" t="s">
        <v>2124</v>
      </c>
      <c r="O236" s="88" t="s">
        <v>2125</v>
      </c>
      <c r="P236" s="88" t="s">
        <v>1068</v>
      </c>
      <c r="Q236" s="88" t="s">
        <v>2126</v>
      </c>
      <c r="R236" s="88" t="s">
        <v>2127</v>
      </c>
      <c r="S236" s="88" t="s">
        <v>2265</v>
      </c>
      <c r="T236" s="88" t="s">
        <v>331</v>
      </c>
      <c r="U236" s="88" t="s">
        <v>523</v>
      </c>
      <c r="V236" s="88" t="s">
        <v>339</v>
      </c>
      <c r="W236" s="88" t="s">
        <v>356</v>
      </c>
      <c r="X236" s="88" t="s">
        <v>130</v>
      </c>
      <c r="Y236" s="88" t="s">
        <v>351</v>
      </c>
      <c r="Z236" s="88" t="s">
        <v>512</v>
      </c>
      <c r="AA236" s="95"/>
      <c r="AB236" s="88" t="s">
        <v>2128</v>
      </c>
      <c r="AC236" s="88" t="s">
        <v>2129</v>
      </c>
      <c r="AD236" s="88" t="s">
        <v>342</v>
      </c>
      <c r="AE236" s="88" t="s">
        <v>359</v>
      </c>
      <c r="AF236" s="88" t="s">
        <v>130</v>
      </c>
      <c r="AG236" s="88" t="s">
        <v>361</v>
      </c>
      <c r="AH236" s="88" t="s">
        <v>543</v>
      </c>
      <c r="AI236" s="88" t="s">
        <v>2130</v>
      </c>
      <c r="AJ236" s="95"/>
      <c r="AK236" s="88" t="s">
        <v>529</v>
      </c>
      <c r="AL236" s="88" t="s">
        <v>529</v>
      </c>
      <c r="AM236" s="95"/>
      <c r="AN236" s="96" t="s">
        <v>2131</v>
      </c>
      <c r="AO236" s="84"/>
    </row>
    <row r="237" spans="1:41" s="85" customFormat="1" x14ac:dyDescent="0.25">
      <c r="A237" s="88" t="s">
        <v>300</v>
      </c>
      <c r="B237" s="88" t="s">
        <v>2132</v>
      </c>
      <c r="C237" s="88" t="s">
        <v>252</v>
      </c>
      <c r="D237" s="88" t="s">
        <v>43</v>
      </c>
      <c r="E237" s="88" t="s">
        <v>351</v>
      </c>
      <c r="F237" s="88" t="s">
        <v>332</v>
      </c>
      <c r="G237" s="88">
        <v>2008</v>
      </c>
      <c r="H237" s="88">
        <v>2018</v>
      </c>
      <c r="I237" s="88" t="s">
        <v>2133</v>
      </c>
      <c r="J237" s="88" t="s">
        <v>335</v>
      </c>
      <c r="K237" s="92" t="s">
        <v>2133</v>
      </c>
      <c r="L237" s="93"/>
      <c r="M237" s="94" t="s">
        <v>2252</v>
      </c>
      <c r="N237" s="88" t="s">
        <v>424</v>
      </c>
      <c r="O237" s="88" t="s">
        <v>2134</v>
      </c>
      <c r="P237" s="88" t="s">
        <v>134</v>
      </c>
      <c r="Q237" s="88" t="s">
        <v>139</v>
      </c>
      <c r="R237" s="88" t="s">
        <v>138</v>
      </c>
      <c r="S237" s="88" t="s">
        <v>130</v>
      </c>
      <c r="T237" s="88" t="s">
        <v>331</v>
      </c>
      <c r="U237" s="88" t="s">
        <v>130</v>
      </c>
      <c r="V237" s="88" t="s">
        <v>351</v>
      </c>
      <c r="W237" s="88" t="s">
        <v>351</v>
      </c>
      <c r="X237" s="88" t="s">
        <v>490</v>
      </c>
      <c r="Y237" s="88" t="s">
        <v>331</v>
      </c>
      <c r="Z237" s="88" t="s">
        <v>331</v>
      </c>
      <c r="AA237" s="95"/>
      <c r="AB237" s="88" t="s">
        <v>2135</v>
      </c>
      <c r="AC237" s="88" t="s">
        <v>2136</v>
      </c>
      <c r="AD237" s="88" t="s">
        <v>2137</v>
      </c>
      <c r="AE237" s="88" t="s">
        <v>359</v>
      </c>
      <c r="AF237" s="88" t="s">
        <v>677</v>
      </c>
      <c r="AG237" s="88" t="s">
        <v>2138</v>
      </c>
      <c r="AH237" s="88" t="s">
        <v>375</v>
      </c>
      <c r="AI237" s="88" t="s">
        <v>346</v>
      </c>
      <c r="AJ237" s="95"/>
      <c r="AK237" s="88" t="s">
        <v>339</v>
      </c>
      <c r="AL237" s="88" t="s">
        <v>339</v>
      </c>
      <c r="AM237" s="95"/>
      <c r="AN237" s="96" t="s">
        <v>2139</v>
      </c>
      <c r="AO237" s="84"/>
    </row>
    <row r="238" spans="1:41" s="85" customFormat="1" x14ac:dyDescent="0.25">
      <c r="A238" s="88" t="s">
        <v>300</v>
      </c>
      <c r="B238" s="88" t="s">
        <v>2140</v>
      </c>
      <c r="C238" s="88" t="s">
        <v>252</v>
      </c>
      <c r="D238" s="88" t="s">
        <v>43</v>
      </c>
      <c r="E238" s="88" t="s">
        <v>351</v>
      </c>
      <c r="F238" s="88" t="s">
        <v>332</v>
      </c>
      <c r="G238" s="88">
        <v>2017</v>
      </c>
      <c r="H238" s="88">
        <v>2022</v>
      </c>
      <c r="I238" s="88" t="s">
        <v>586</v>
      </c>
      <c r="J238" s="88" t="s">
        <v>351</v>
      </c>
      <c r="K238" s="92" t="s">
        <v>2141</v>
      </c>
      <c r="L238" s="93"/>
      <c r="M238" s="94" t="s">
        <v>2270</v>
      </c>
      <c r="N238" s="88" t="s">
        <v>424</v>
      </c>
      <c r="O238" s="88" t="s">
        <v>2142</v>
      </c>
      <c r="P238" s="88" t="s">
        <v>134</v>
      </c>
      <c r="Q238" s="88" t="s">
        <v>1107</v>
      </c>
      <c r="R238" s="88" t="s">
        <v>489</v>
      </c>
      <c r="S238" s="88" t="s">
        <v>331</v>
      </c>
      <c r="T238" s="88" t="s">
        <v>331</v>
      </c>
      <c r="U238" s="88" t="s">
        <v>130</v>
      </c>
      <c r="V238" s="88" t="s">
        <v>351</v>
      </c>
      <c r="W238" s="88" t="s">
        <v>356</v>
      </c>
      <c r="X238" s="88" t="s">
        <v>130</v>
      </c>
      <c r="Y238" s="88" t="s">
        <v>351</v>
      </c>
      <c r="Z238" s="88" t="s">
        <v>380</v>
      </c>
      <c r="AA238" s="95"/>
      <c r="AB238" s="88" t="s">
        <v>2143</v>
      </c>
      <c r="AC238" s="88" t="s">
        <v>2144</v>
      </c>
      <c r="AD238" s="88" t="s">
        <v>2145</v>
      </c>
      <c r="AE238" s="88" t="s">
        <v>359</v>
      </c>
      <c r="AF238" s="88" t="s">
        <v>130</v>
      </c>
      <c r="AG238" s="88" t="s">
        <v>361</v>
      </c>
      <c r="AH238" s="88" t="s">
        <v>375</v>
      </c>
      <c r="AI238" s="88" t="s">
        <v>346</v>
      </c>
      <c r="AJ238" s="95"/>
      <c r="AK238" s="88" t="s">
        <v>339</v>
      </c>
      <c r="AL238" s="88" t="s">
        <v>339</v>
      </c>
      <c r="AM238" s="95"/>
      <c r="AN238" s="96" t="s">
        <v>2146</v>
      </c>
      <c r="AO238" s="84"/>
    </row>
    <row r="239" spans="1:41" s="85" customFormat="1" x14ac:dyDescent="0.25">
      <c r="A239" s="88" t="s">
        <v>300</v>
      </c>
      <c r="B239" s="88" t="s">
        <v>2147</v>
      </c>
      <c r="C239" s="88" t="s">
        <v>252</v>
      </c>
      <c r="D239" s="88" t="s">
        <v>43</v>
      </c>
      <c r="E239" s="88" t="s">
        <v>351</v>
      </c>
      <c r="F239" s="88" t="s">
        <v>332</v>
      </c>
      <c r="G239" s="88">
        <v>2017</v>
      </c>
      <c r="H239" s="88" t="s">
        <v>333</v>
      </c>
      <c r="I239" s="88" t="s">
        <v>586</v>
      </c>
      <c r="J239" s="88" t="s">
        <v>335</v>
      </c>
      <c r="K239" s="92" t="s">
        <v>2147</v>
      </c>
      <c r="L239" s="93"/>
      <c r="M239" s="94" t="s">
        <v>2248</v>
      </c>
      <c r="N239" s="88" t="s">
        <v>476</v>
      </c>
      <c r="O239" s="88" t="s">
        <v>98</v>
      </c>
      <c r="P239" s="88" t="s">
        <v>134</v>
      </c>
      <c r="Q239" s="88" t="s">
        <v>139</v>
      </c>
      <c r="R239" s="88" t="s">
        <v>453</v>
      </c>
      <c r="S239" s="88" t="s">
        <v>331</v>
      </c>
      <c r="T239" s="88" t="s">
        <v>331</v>
      </c>
      <c r="U239" s="88" t="s">
        <v>130</v>
      </c>
      <c r="V239" s="88" t="s">
        <v>339</v>
      </c>
      <c r="W239" s="88" t="s">
        <v>339</v>
      </c>
      <c r="X239" s="88" t="s">
        <v>130</v>
      </c>
      <c r="Y239" s="88" t="s">
        <v>339</v>
      </c>
      <c r="Z239" s="88" t="s">
        <v>339</v>
      </c>
      <c r="AA239" s="95"/>
      <c r="AB239" s="88" t="s">
        <v>2148</v>
      </c>
      <c r="AC239" s="88" t="s">
        <v>2149</v>
      </c>
      <c r="AD239" s="88" t="s">
        <v>342</v>
      </c>
      <c r="AE239" s="88" t="s">
        <v>359</v>
      </c>
      <c r="AF239" s="88" t="s">
        <v>130</v>
      </c>
      <c r="AG239" s="88" t="s">
        <v>361</v>
      </c>
      <c r="AH239" s="88" t="s">
        <v>375</v>
      </c>
      <c r="AI239" s="88" t="s">
        <v>346</v>
      </c>
      <c r="AJ239" s="95"/>
      <c r="AK239" s="88" t="s">
        <v>339</v>
      </c>
      <c r="AL239" s="88" t="s">
        <v>339</v>
      </c>
      <c r="AM239" s="95"/>
      <c r="AN239" s="96" t="s">
        <v>2150</v>
      </c>
      <c r="AO239" s="84"/>
    </row>
    <row r="240" spans="1:41" s="85" customFormat="1" x14ac:dyDescent="0.25">
      <c r="A240" s="88" t="s">
        <v>300</v>
      </c>
      <c r="B240" s="88" t="s">
        <v>468</v>
      </c>
      <c r="C240" s="88" t="s">
        <v>252</v>
      </c>
      <c r="D240" s="88" t="s">
        <v>43</v>
      </c>
      <c r="E240" s="88" t="s">
        <v>351</v>
      </c>
      <c r="F240" s="88" t="s">
        <v>332</v>
      </c>
      <c r="G240" s="88">
        <v>2000</v>
      </c>
      <c r="H240" s="88" t="s">
        <v>353</v>
      </c>
      <c r="I240" s="88" t="s">
        <v>2151</v>
      </c>
      <c r="J240" s="88" t="s">
        <v>335</v>
      </c>
      <c r="K240" s="92" t="s">
        <v>2152</v>
      </c>
      <c r="L240" s="93"/>
      <c r="M240" s="94" t="s">
        <v>2272</v>
      </c>
      <c r="N240" s="88" t="s">
        <v>2153</v>
      </c>
      <c r="O240" s="88" t="s">
        <v>336</v>
      </c>
      <c r="P240" s="88" t="s">
        <v>81</v>
      </c>
      <c r="Q240" s="88" t="s">
        <v>139</v>
      </c>
      <c r="R240" s="88" t="s">
        <v>138</v>
      </c>
      <c r="S240" s="88" t="s">
        <v>2266</v>
      </c>
      <c r="T240" s="88" t="s">
        <v>331</v>
      </c>
      <c r="U240" s="88" t="s">
        <v>130</v>
      </c>
      <c r="V240" s="88" t="s">
        <v>331</v>
      </c>
      <c r="W240" s="88" t="s">
        <v>339</v>
      </c>
      <c r="X240" s="88" t="s">
        <v>130</v>
      </c>
      <c r="Y240" s="88" t="s">
        <v>331</v>
      </c>
      <c r="Z240" s="88" t="s">
        <v>331</v>
      </c>
      <c r="AA240" s="95"/>
      <c r="AB240" s="88" t="s">
        <v>2154</v>
      </c>
      <c r="AC240" s="88" t="s">
        <v>2155</v>
      </c>
      <c r="AD240" s="88" t="s">
        <v>342</v>
      </c>
      <c r="AE240" s="88" t="s">
        <v>343</v>
      </c>
      <c r="AF240" s="88" t="s">
        <v>130</v>
      </c>
      <c r="AG240" s="88" t="s">
        <v>361</v>
      </c>
      <c r="AH240" s="88" t="s">
        <v>375</v>
      </c>
      <c r="AI240" s="88" t="s">
        <v>346</v>
      </c>
      <c r="AJ240" s="95"/>
      <c r="AK240" s="88" t="s">
        <v>339</v>
      </c>
      <c r="AL240" s="88" t="s">
        <v>2156</v>
      </c>
      <c r="AM240" s="95"/>
      <c r="AN240" s="96" t="s">
        <v>2157</v>
      </c>
      <c r="AO240" s="84"/>
    </row>
    <row r="241" spans="1:41" s="85" customFormat="1" x14ac:dyDescent="0.25">
      <c r="A241" s="88" t="s">
        <v>300</v>
      </c>
      <c r="B241" s="88" t="s">
        <v>2158</v>
      </c>
      <c r="C241" s="88" t="s">
        <v>252</v>
      </c>
      <c r="D241" s="88" t="s">
        <v>43</v>
      </c>
      <c r="E241" s="88" t="s">
        <v>351</v>
      </c>
      <c r="F241" s="88" t="s">
        <v>332</v>
      </c>
      <c r="G241" s="88">
        <v>2006</v>
      </c>
      <c r="H241" s="88" t="s">
        <v>333</v>
      </c>
      <c r="I241" s="88" t="s">
        <v>2159</v>
      </c>
      <c r="J241" s="88" t="s">
        <v>335</v>
      </c>
      <c r="K241" s="92" t="s">
        <v>2160</v>
      </c>
      <c r="L241" s="93"/>
      <c r="M241" s="119" t="s">
        <v>2248</v>
      </c>
      <c r="N241" s="88" t="s">
        <v>79</v>
      </c>
      <c r="O241" s="88" t="s">
        <v>336</v>
      </c>
      <c r="P241" s="88" t="s">
        <v>134</v>
      </c>
      <c r="Q241" s="88" t="s">
        <v>76</v>
      </c>
      <c r="R241" s="88" t="s">
        <v>138</v>
      </c>
      <c r="S241" s="88" t="s">
        <v>331</v>
      </c>
      <c r="T241" s="88" t="s">
        <v>331</v>
      </c>
      <c r="U241" s="88" t="s">
        <v>130</v>
      </c>
      <c r="V241" s="88" t="s">
        <v>351</v>
      </c>
      <c r="W241" s="88" t="s">
        <v>356</v>
      </c>
      <c r="X241" s="88" t="s">
        <v>130</v>
      </c>
      <c r="Y241" s="88" t="s">
        <v>351</v>
      </c>
      <c r="Z241" s="88" t="s">
        <v>130</v>
      </c>
      <c r="AA241" s="95"/>
      <c r="AB241" s="88" t="s">
        <v>2161</v>
      </c>
      <c r="AC241" s="88" t="s">
        <v>2162</v>
      </c>
      <c r="AD241" s="88" t="s">
        <v>342</v>
      </c>
      <c r="AE241" s="88" t="s">
        <v>343</v>
      </c>
      <c r="AF241" s="88" t="s">
        <v>130</v>
      </c>
      <c r="AG241" s="88" t="s">
        <v>361</v>
      </c>
      <c r="AH241" s="88" t="s">
        <v>2163</v>
      </c>
      <c r="AI241" s="88" t="s">
        <v>346</v>
      </c>
      <c r="AJ241" s="95"/>
      <c r="AK241" s="88" t="s">
        <v>2164</v>
      </c>
      <c r="AL241" s="88" t="s">
        <v>2165</v>
      </c>
      <c r="AM241" s="95"/>
      <c r="AN241" s="96" t="s">
        <v>2166</v>
      </c>
      <c r="AO241" s="84"/>
    </row>
    <row r="242" spans="1:41" s="85" customFormat="1" ht="12.6" customHeight="1" x14ac:dyDescent="0.25">
      <c r="A242" s="88" t="s">
        <v>300</v>
      </c>
      <c r="B242" s="88" t="s">
        <v>2167</v>
      </c>
      <c r="C242" s="88" t="s">
        <v>252</v>
      </c>
      <c r="D242" s="88" t="s">
        <v>43</v>
      </c>
      <c r="E242" s="88" t="s">
        <v>351</v>
      </c>
      <c r="F242" s="88" t="s">
        <v>399</v>
      </c>
      <c r="G242" s="88">
        <v>1972</v>
      </c>
      <c r="H242" s="88" t="s">
        <v>333</v>
      </c>
      <c r="I242" s="88" t="s">
        <v>2159</v>
      </c>
      <c r="J242" s="88" t="s">
        <v>335</v>
      </c>
      <c r="K242" s="92" t="s">
        <v>2167</v>
      </c>
      <c r="L242" s="93"/>
      <c r="M242" s="94" t="s">
        <v>2248</v>
      </c>
      <c r="N242" s="88" t="s">
        <v>79</v>
      </c>
      <c r="O242" s="88" t="s">
        <v>336</v>
      </c>
      <c r="P242" s="88" t="s">
        <v>134</v>
      </c>
      <c r="Q242" s="88" t="s">
        <v>139</v>
      </c>
      <c r="R242" s="88" t="s">
        <v>138</v>
      </c>
      <c r="S242" s="88" t="s">
        <v>331</v>
      </c>
      <c r="T242" s="88" t="s">
        <v>351</v>
      </c>
      <c r="U242" s="88" t="s">
        <v>90</v>
      </c>
      <c r="V242" s="88" t="s">
        <v>331</v>
      </c>
      <c r="W242" s="88" t="s">
        <v>339</v>
      </c>
      <c r="X242" s="88" t="s">
        <v>130</v>
      </c>
      <c r="Y242" s="88" t="s">
        <v>331</v>
      </c>
      <c r="Z242" s="88" t="s">
        <v>130</v>
      </c>
      <c r="AA242" s="95"/>
      <c r="AB242" s="88" t="s">
        <v>2168</v>
      </c>
      <c r="AC242" s="116" t="s">
        <v>2169</v>
      </c>
      <c r="AD242" s="88" t="s">
        <v>342</v>
      </c>
      <c r="AE242" s="88" t="s">
        <v>359</v>
      </c>
      <c r="AF242" s="88" t="s">
        <v>130</v>
      </c>
      <c r="AG242" s="88" t="s">
        <v>361</v>
      </c>
      <c r="AH242" s="88" t="s">
        <v>2170</v>
      </c>
      <c r="AI242" s="88" t="s">
        <v>346</v>
      </c>
      <c r="AJ242" s="95"/>
      <c r="AK242" s="88" t="s">
        <v>2171</v>
      </c>
      <c r="AL242" s="88" t="s">
        <v>339</v>
      </c>
      <c r="AM242" s="95"/>
      <c r="AN242" s="96" t="s">
        <v>2172</v>
      </c>
      <c r="AO242" s="84"/>
    </row>
    <row r="243" spans="1:41" s="85" customFormat="1" x14ac:dyDescent="0.25">
      <c r="A243" s="88" t="s">
        <v>301</v>
      </c>
      <c r="B243" s="88" t="s">
        <v>2140</v>
      </c>
      <c r="C243" s="88" t="s">
        <v>252</v>
      </c>
      <c r="D243" s="88" t="s">
        <v>43</v>
      </c>
      <c r="E243" s="88" t="s">
        <v>351</v>
      </c>
      <c r="F243" s="88" t="s">
        <v>332</v>
      </c>
      <c r="G243" s="88">
        <v>2016</v>
      </c>
      <c r="H243" s="88">
        <v>2020</v>
      </c>
      <c r="I243" s="88" t="s">
        <v>2173</v>
      </c>
      <c r="J243" s="88" t="s">
        <v>335</v>
      </c>
      <c r="K243" s="92" t="s">
        <v>2174</v>
      </c>
      <c r="L243" s="93"/>
      <c r="M243" s="94" t="s">
        <v>2270</v>
      </c>
      <c r="N243" s="88" t="s">
        <v>2113</v>
      </c>
      <c r="O243" s="88" t="s">
        <v>2175</v>
      </c>
      <c r="P243" s="88" t="s">
        <v>2176</v>
      </c>
      <c r="Q243" s="88" t="s">
        <v>2177</v>
      </c>
      <c r="R243" s="88" t="s">
        <v>2178</v>
      </c>
      <c r="S243" s="88" t="s">
        <v>2267</v>
      </c>
      <c r="T243" s="88" t="s">
        <v>331</v>
      </c>
      <c r="U243" s="88" t="s">
        <v>130</v>
      </c>
      <c r="V243" s="88" t="s">
        <v>351</v>
      </c>
      <c r="W243" s="88" t="s">
        <v>356</v>
      </c>
      <c r="X243" s="88" t="s">
        <v>130</v>
      </c>
      <c r="Y243" s="88" t="s">
        <v>351</v>
      </c>
      <c r="Z243" s="88" t="s">
        <v>380</v>
      </c>
      <c r="AA243" s="95"/>
      <c r="AB243" s="88" t="s">
        <v>2179</v>
      </c>
      <c r="AC243" s="88" t="s">
        <v>2180</v>
      </c>
      <c r="AD243" s="88" t="s">
        <v>2181</v>
      </c>
      <c r="AE243" s="88" t="s">
        <v>359</v>
      </c>
      <c r="AF243" s="88" t="s">
        <v>2182</v>
      </c>
      <c r="AG243" s="88" t="s">
        <v>542</v>
      </c>
      <c r="AH243" s="88" t="s">
        <v>375</v>
      </c>
      <c r="AI243" s="88" t="s">
        <v>346</v>
      </c>
      <c r="AJ243" s="95"/>
      <c r="AK243" s="88" t="s">
        <v>529</v>
      </c>
      <c r="AL243" s="88" t="s">
        <v>339</v>
      </c>
      <c r="AM243" s="95"/>
      <c r="AN243" s="96" t="s">
        <v>2183</v>
      </c>
      <c r="AO243" s="84"/>
    </row>
    <row r="244" spans="1:41" s="85" customFormat="1" x14ac:dyDescent="0.25">
      <c r="A244" s="88" t="s">
        <v>301</v>
      </c>
      <c r="B244" s="88" t="s">
        <v>2184</v>
      </c>
      <c r="C244" s="88" t="s">
        <v>252</v>
      </c>
      <c r="D244" s="88" t="s">
        <v>43</v>
      </c>
      <c r="E244" s="88" t="s">
        <v>351</v>
      </c>
      <c r="F244" s="88" t="s">
        <v>332</v>
      </c>
      <c r="G244" s="88">
        <v>2016</v>
      </c>
      <c r="H244" s="88">
        <v>2019</v>
      </c>
      <c r="I244" s="88" t="s">
        <v>2185</v>
      </c>
      <c r="J244" s="88" t="s">
        <v>351</v>
      </c>
      <c r="K244" s="92" t="s">
        <v>2186</v>
      </c>
      <c r="L244" s="93"/>
      <c r="M244" s="94" t="s">
        <v>2272</v>
      </c>
      <c r="N244" s="88" t="s">
        <v>121</v>
      </c>
      <c r="O244" s="88" t="s">
        <v>98</v>
      </c>
      <c r="P244" s="88" t="s">
        <v>2187</v>
      </c>
      <c r="Q244" s="88" t="s">
        <v>2188</v>
      </c>
      <c r="R244" s="88" t="s">
        <v>2189</v>
      </c>
      <c r="S244" s="88" t="s">
        <v>2268</v>
      </c>
      <c r="T244" s="88" t="s">
        <v>331</v>
      </c>
      <c r="U244" s="88" t="s">
        <v>130</v>
      </c>
      <c r="V244" s="88" t="s">
        <v>351</v>
      </c>
      <c r="W244" s="88" t="s">
        <v>356</v>
      </c>
      <c r="X244" s="88" t="s">
        <v>130</v>
      </c>
      <c r="Y244" s="88" t="s">
        <v>351</v>
      </c>
      <c r="Z244" s="88" t="s">
        <v>380</v>
      </c>
      <c r="AA244" s="95"/>
      <c r="AB244" s="88" t="s">
        <v>2190</v>
      </c>
      <c r="AC244" s="88" t="s">
        <v>2191</v>
      </c>
      <c r="AD244" s="88" t="s">
        <v>2192</v>
      </c>
      <c r="AE244" s="88" t="s">
        <v>751</v>
      </c>
      <c r="AF244" s="88" t="s">
        <v>130</v>
      </c>
      <c r="AG244" s="88" t="s">
        <v>542</v>
      </c>
      <c r="AH244" s="88" t="s">
        <v>375</v>
      </c>
      <c r="AI244" s="88" t="s">
        <v>346</v>
      </c>
      <c r="AJ244" s="95"/>
      <c r="AK244" s="88" t="s">
        <v>339</v>
      </c>
      <c r="AL244" s="88" t="s">
        <v>2193</v>
      </c>
      <c r="AM244" s="95"/>
      <c r="AN244" s="96" t="s">
        <v>2194</v>
      </c>
      <c r="AO244" s="84"/>
    </row>
    <row r="245" spans="1:41" s="85" customFormat="1" x14ac:dyDescent="0.25">
      <c r="A245" s="88" t="s">
        <v>301</v>
      </c>
      <c r="B245" s="88" t="s">
        <v>2195</v>
      </c>
      <c r="C245" s="88" t="s">
        <v>252</v>
      </c>
      <c r="D245" s="88" t="s">
        <v>43</v>
      </c>
      <c r="E245" s="88" t="s">
        <v>351</v>
      </c>
      <c r="F245" s="88" t="s">
        <v>332</v>
      </c>
      <c r="G245" s="88">
        <v>2019</v>
      </c>
      <c r="H245" s="88">
        <v>2023</v>
      </c>
      <c r="I245" s="88" t="s">
        <v>1405</v>
      </c>
      <c r="J245" s="88" t="s">
        <v>335</v>
      </c>
      <c r="K245" s="92" t="s">
        <v>1405</v>
      </c>
      <c r="L245" s="93"/>
      <c r="M245" s="94" t="s">
        <v>2270</v>
      </c>
      <c r="N245" s="88" t="s">
        <v>2196</v>
      </c>
      <c r="O245" s="88" t="s">
        <v>336</v>
      </c>
      <c r="P245" s="88" t="s">
        <v>87</v>
      </c>
      <c r="Q245" s="88" t="s">
        <v>2197</v>
      </c>
      <c r="R245" s="88" t="s">
        <v>1070</v>
      </c>
      <c r="S245" s="88" t="s">
        <v>2269</v>
      </c>
      <c r="T245" s="88" t="s">
        <v>331</v>
      </c>
      <c r="U245" s="88" t="s">
        <v>130</v>
      </c>
      <c r="V245" s="88" t="s">
        <v>339</v>
      </c>
      <c r="W245" s="88" t="s">
        <v>356</v>
      </c>
      <c r="X245" s="88" t="s">
        <v>130</v>
      </c>
      <c r="Y245" s="88" t="s">
        <v>351</v>
      </c>
      <c r="Z245" s="88" t="s">
        <v>380</v>
      </c>
      <c r="AA245" s="95"/>
      <c r="AB245" s="88" t="s">
        <v>2198</v>
      </c>
      <c r="AC245" s="88" t="s">
        <v>2199</v>
      </c>
      <c r="AD245" s="88" t="s">
        <v>342</v>
      </c>
      <c r="AE245" s="88" t="s">
        <v>448</v>
      </c>
      <c r="AF245" s="88" t="s">
        <v>130</v>
      </c>
      <c r="AG245" s="88" t="s">
        <v>542</v>
      </c>
      <c r="AH245" s="88" t="s">
        <v>375</v>
      </c>
      <c r="AI245" s="88" t="s">
        <v>346</v>
      </c>
      <c r="AJ245" s="95"/>
      <c r="AK245" s="88" t="s">
        <v>339</v>
      </c>
      <c r="AL245" s="88" t="s">
        <v>529</v>
      </c>
      <c r="AM245" s="95"/>
      <c r="AN245" s="96" t="s">
        <v>2200</v>
      </c>
      <c r="AO245" s="84"/>
    </row>
    <row r="246" spans="1:41" s="85" customFormat="1" x14ac:dyDescent="0.25">
      <c r="A246" s="88" t="s">
        <v>301</v>
      </c>
      <c r="B246" s="88" t="s">
        <v>2201</v>
      </c>
      <c r="C246" s="88" t="s">
        <v>252</v>
      </c>
      <c r="D246" s="88" t="s">
        <v>43</v>
      </c>
      <c r="E246" s="88" t="s">
        <v>351</v>
      </c>
      <c r="F246" s="88" t="s">
        <v>332</v>
      </c>
      <c r="G246" s="88">
        <v>2014</v>
      </c>
      <c r="H246" s="88">
        <v>2017</v>
      </c>
      <c r="I246" s="88" t="s">
        <v>2202</v>
      </c>
      <c r="J246" s="88" t="s">
        <v>351</v>
      </c>
      <c r="K246" s="92" t="s">
        <v>2203</v>
      </c>
      <c r="L246" s="93"/>
      <c r="M246" s="94" t="s">
        <v>2272</v>
      </c>
      <c r="N246" s="88" t="s">
        <v>476</v>
      </c>
      <c r="O246" s="88" t="s">
        <v>98</v>
      </c>
      <c r="P246" s="88" t="s">
        <v>2204</v>
      </c>
      <c r="Q246" s="88" t="s">
        <v>139</v>
      </c>
      <c r="R246" s="88" t="s">
        <v>1150</v>
      </c>
      <c r="S246" s="88" t="s">
        <v>331</v>
      </c>
      <c r="T246" s="88" t="s">
        <v>331</v>
      </c>
      <c r="U246" s="88" t="s">
        <v>523</v>
      </c>
      <c r="V246" s="88" t="s">
        <v>351</v>
      </c>
      <c r="W246" s="88" t="s">
        <v>356</v>
      </c>
      <c r="X246" s="88" t="s">
        <v>130</v>
      </c>
      <c r="Y246" s="88" t="s">
        <v>351</v>
      </c>
      <c r="Z246" s="88" t="s">
        <v>380</v>
      </c>
      <c r="AA246" s="95"/>
      <c r="AB246" s="88" t="s">
        <v>2205</v>
      </c>
      <c r="AC246" s="88" t="s">
        <v>2206</v>
      </c>
      <c r="AD246" s="88" t="s">
        <v>2207</v>
      </c>
      <c r="AE246" s="88" t="s">
        <v>751</v>
      </c>
      <c r="AF246" s="88" t="s">
        <v>130</v>
      </c>
      <c r="AG246" s="88" t="s">
        <v>542</v>
      </c>
      <c r="AH246" s="88" t="s">
        <v>375</v>
      </c>
      <c r="AI246" s="88" t="s">
        <v>346</v>
      </c>
      <c r="AJ246" s="95"/>
      <c r="AK246" s="88" t="s">
        <v>2208</v>
      </c>
      <c r="AL246" s="88" t="s">
        <v>2209</v>
      </c>
      <c r="AM246" s="95"/>
      <c r="AN246" s="96" t="s">
        <v>2210</v>
      </c>
      <c r="AO246" s="84"/>
    </row>
    <row r="247" spans="1:41" s="85" customFormat="1" x14ac:dyDescent="0.25">
      <c r="A247" s="88" t="s">
        <v>301</v>
      </c>
      <c r="B247" s="88" t="s">
        <v>2211</v>
      </c>
      <c r="C247" s="88" t="s">
        <v>252</v>
      </c>
      <c r="D247" s="88" t="s">
        <v>43</v>
      </c>
      <c r="E247" s="88" t="s">
        <v>351</v>
      </c>
      <c r="F247" s="88" t="s">
        <v>332</v>
      </c>
      <c r="G247" s="88" t="s">
        <v>416</v>
      </c>
      <c r="H247" s="88" t="s">
        <v>333</v>
      </c>
      <c r="I247" s="88" t="s">
        <v>2212</v>
      </c>
      <c r="J247" s="88" t="s">
        <v>351</v>
      </c>
      <c r="K247" s="92" t="s">
        <v>2213</v>
      </c>
      <c r="L247" s="93"/>
      <c r="M247" s="94" t="s">
        <v>2270</v>
      </c>
      <c r="N247" s="88" t="s">
        <v>476</v>
      </c>
      <c r="O247" s="88" t="s">
        <v>2214</v>
      </c>
      <c r="P247" s="88" t="s">
        <v>789</v>
      </c>
      <c r="Q247" s="88" t="s">
        <v>2215</v>
      </c>
      <c r="R247" s="88" t="s">
        <v>1555</v>
      </c>
      <c r="S247" s="88" t="s">
        <v>331</v>
      </c>
      <c r="T247" s="88" t="s">
        <v>331</v>
      </c>
      <c r="U247" s="88" t="s">
        <v>130</v>
      </c>
      <c r="V247" s="88" t="s">
        <v>339</v>
      </c>
      <c r="W247" s="88" t="s">
        <v>356</v>
      </c>
      <c r="X247" s="88" t="s">
        <v>130</v>
      </c>
      <c r="Y247" s="88" t="s">
        <v>351</v>
      </c>
      <c r="Z247" s="88" t="s">
        <v>380</v>
      </c>
      <c r="AA247" s="95"/>
      <c r="AB247" s="88" t="s">
        <v>2216</v>
      </c>
      <c r="AC247" s="88" t="s">
        <v>2217</v>
      </c>
      <c r="AD247" s="88" t="s">
        <v>342</v>
      </c>
      <c r="AE247" s="88" t="s">
        <v>448</v>
      </c>
      <c r="AF247" s="88" t="s">
        <v>130</v>
      </c>
      <c r="AG247" s="88" t="s">
        <v>361</v>
      </c>
      <c r="AH247" s="88" t="s">
        <v>375</v>
      </c>
      <c r="AI247" s="88" t="s">
        <v>346</v>
      </c>
      <c r="AJ247" s="95"/>
      <c r="AK247" s="88" t="s">
        <v>339</v>
      </c>
      <c r="AL247" s="88" t="s">
        <v>339</v>
      </c>
      <c r="AM247" s="95"/>
      <c r="AN247" s="96" t="s">
        <v>2218</v>
      </c>
      <c r="AO247" s="84"/>
    </row>
    <row r="248" spans="1:41" s="85" customFormat="1" x14ac:dyDescent="0.25">
      <c r="A248" s="88" t="s">
        <v>301</v>
      </c>
      <c r="B248" s="88" t="s">
        <v>2219</v>
      </c>
      <c r="C248" s="88" t="s">
        <v>252</v>
      </c>
      <c r="D248" s="88" t="s">
        <v>43</v>
      </c>
      <c r="E248" s="88" t="s">
        <v>351</v>
      </c>
      <c r="F248" s="88" t="s">
        <v>332</v>
      </c>
      <c r="G248" s="88">
        <v>2020</v>
      </c>
      <c r="H248" s="88" t="s">
        <v>333</v>
      </c>
      <c r="I248" s="88" t="s">
        <v>2174</v>
      </c>
      <c r="J248" s="88" t="s">
        <v>335</v>
      </c>
      <c r="K248" s="92" t="s">
        <v>2174</v>
      </c>
      <c r="L248" s="93"/>
      <c r="M248" s="94" t="s">
        <v>2270</v>
      </c>
      <c r="N248" s="88" t="s">
        <v>2220</v>
      </c>
      <c r="O248" s="88" t="s">
        <v>336</v>
      </c>
      <c r="P248" s="88" t="s">
        <v>134</v>
      </c>
      <c r="Q248" s="88" t="s">
        <v>2221</v>
      </c>
      <c r="R248" s="88" t="s">
        <v>138</v>
      </c>
      <c r="S248" s="88" t="s">
        <v>331</v>
      </c>
      <c r="T248" s="88" t="s">
        <v>351</v>
      </c>
      <c r="U248" s="88" t="s">
        <v>84</v>
      </c>
      <c r="V248" s="88" t="s">
        <v>351</v>
      </c>
      <c r="W248" s="88" t="s">
        <v>356</v>
      </c>
      <c r="X248" s="88" t="s">
        <v>130</v>
      </c>
      <c r="Y248" s="88" t="s">
        <v>339</v>
      </c>
      <c r="Z248" s="88" t="s">
        <v>339</v>
      </c>
      <c r="AA248" s="95"/>
      <c r="AB248" s="88" t="s">
        <v>2222</v>
      </c>
      <c r="AC248" s="88" t="s">
        <v>2223</v>
      </c>
      <c r="AD248" s="88" t="s">
        <v>2224</v>
      </c>
      <c r="AE248" s="88" t="s">
        <v>359</v>
      </c>
      <c r="AF248" s="88" t="s">
        <v>2225</v>
      </c>
      <c r="AG248" s="88" t="s">
        <v>542</v>
      </c>
      <c r="AH248" s="88" t="s">
        <v>375</v>
      </c>
      <c r="AI248" s="88" t="s">
        <v>346</v>
      </c>
      <c r="AJ248" s="95"/>
      <c r="AK248" s="88" t="s">
        <v>529</v>
      </c>
      <c r="AL248" s="88" t="s">
        <v>529</v>
      </c>
      <c r="AM248" s="95"/>
      <c r="AN248" s="96" t="s">
        <v>2226</v>
      </c>
      <c r="AO248" s="84"/>
    </row>
    <row r="250" spans="1:41" ht="15" customHeight="1" x14ac:dyDescent="0.25"/>
    <row r="251" spans="1:41" x14ac:dyDescent="0.25">
      <c r="R251" s="121"/>
    </row>
    <row r="253" spans="1:41" x14ac:dyDescent="0.25">
      <c r="S253" s="121"/>
    </row>
    <row r="254" spans="1:41" x14ac:dyDescent="0.25">
      <c r="S254" s="121"/>
    </row>
    <row r="255" spans="1:41" x14ac:dyDescent="0.25">
      <c r="S255" s="121"/>
    </row>
    <row r="256" spans="1:41" x14ac:dyDescent="0.25">
      <c r="S256" s="121"/>
    </row>
    <row r="257" spans="2:19" x14ac:dyDescent="0.25">
      <c r="R257" s="121"/>
      <c r="S257" s="121"/>
    </row>
    <row r="258" spans="2:19" x14ac:dyDescent="0.25">
      <c r="B258" s="121"/>
      <c r="R258" s="121"/>
    </row>
    <row r="259" spans="2:19" x14ac:dyDescent="0.25">
      <c r="B259" s="121"/>
    </row>
    <row r="260" spans="2:19" x14ac:dyDescent="0.25">
      <c r="B260" s="121"/>
    </row>
    <row r="261" spans="2:19" x14ac:dyDescent="0.25">
      <c r="B261" s="121"/>
    </row>
    <row r="262" spans="2:19" x14ac:dyDescent="0.25">
      <c r="B262" s="121"/>
    </row>
    <row r="263" spans="2:19" x14ac:dyDescent="0.25">
      <c r="B263" s="121"/>
    </row>
    <row r="264" spans="2:19" x14ac:dyDescent="0.25">
      <c r="B264" s="121"/>
    </row>
    <row r="265" spans="2:19" x14ac:dyDescent="0.25">
      <c r="B265" s="122"/>
    </row>
    <row r="270" spans="2:19" x14ac:dyDescent="0.25">
      <c r="B270" s="121"/>
    </row>
    <row r="271" spans="2:19" x14ac:dyDescent="0.25">
      <c r="B271" s="121"/>
    </row>
    <row r="272" spans="2:19" x14ac:dyDescent="0.25">
      <c r="B272" s="121"/>
    </row>
    <row r="275" spans="2:2" x14ac:dyDescent="0.25">
      <c r="B275" s="121"/>
    </row>
    <row r="276" spans="2:2" x14ac:dyDescent="0.25">
      <c r="B276" s="121"/>
    </row>
    <row r="277" spans="2:2" x14ac:dyDescent="0.25">
      <c r="B277" s="121"/>
    </row>
    <row r="278" spans="2:2" x14ac:dyDescent="0.25">
      <c r="B278" s="121"/>
    </row>
    <row r="279" spans="2:2" x14ac:dyDescent="0.25">
      <c r="B279" s="121"/>
    </row>
    <row r="281" spans="2:2" x14ac:dyDescent="0.25">
      <c r="B281" s="121"/>
    </row>
    <row r="285" spans="2:2" x14ac:dyDescent="0.25">
      <c r="B285" s="121"/>
    </row>
    <row r="286" spans="2:2" x14ac:dyDescent="0.25">
      <c r="B286" s="121"/>
    </row>
    <row r="287" spans="2:2" x14ac:dyDescent="0.25">
      <c r="B287" s="121"/>
    </row>
    <row r="288" spans="2:2" x14ac:dyDescent="0.25">
      <c r="B288" s="121"/>
    </row>
  </sheetData>
  <autoFilter ref="A5:AN248" xr:uid="{802425B3-6CDE-42CD-9FAD-F110B00302A5}"/>
  <mergeCells count="6">
    <mergeCell ref="A1:AN1"/>
    <mergeCell ref="AN4:AN5"/>
    <mergeCell ref="A4:K4"/>
    <mergeCell ref="M4:Z4"/>
    <mergeCell ref="AB4:AI4"/>
    <mergeCell ref="AK4:AL4"/>
  </mergeCells>
  <dataValidations count="1">
    <dataValidation type="list" allowBlank="1" showInputMessage="1" showErrorMessage="1" sqref="AE243:AE248 Y6:AA44 C6:C44 M7:M24 T208:T214 E46:E95 T46:T95 T249:T1048576 T216:T236 E208:E1048576 J239 C208:D236 C243:D1048576 M93:M95 M249:M1048576 M74:M91 Y208:AA236 J249:J1048576 J208:J236 E6:E44 Y46:AA95 V6:V44 V46:V95 V249:V1048576 X249:AA1048576 M246:M247 X6 T15:T44 M154:M205 M35:M36 M38:M39 M218:M236 V208:V236 M41:M50 M52:M72 M208:M216 T6:T13 M26:M33 M241 AE6:AE236 V99:V205 M99:M152 Y99:AA205 C46:C205 J6:J205 E99:E205 T99:T205 D6:D205" xr:uid="{E650508F-722A-4A55-94EE-49E96B73460A}">
      <formula1>#REF!</formula1>
    </dataValidation>
  </dataValidations>
  <hyperlinks>
    <hyperlink ref="AN79" r:id="rId1" xr:uid="{4246444C-52B3-410B-9371-82C59E30CD73}"/>
    <hyperlink ref="AN106" r:id="rId2" xr:uid="{ADBCA230-7546-4559-8462-9861D587BBD1}"/>
    <hyperlink ref="AN209" r:id="rId3" xr:uid="{5C64517E-6C5E-4821-88F0-2F2712AD78FF}"/>
    <hyperlink ref="AN159" r:id="rId4" xr:uid="{1B3C16E0-74F0-44FF-A105-314227A1FC7B}"/>
    <hyperlink ref="AN107" r:id="rId5" xr:uid="{31782D4B-386E-4C09-8305-FC22D3911C10}"/>
    <hyperlink ref="AN211" r:id="rId6" xr:uid="{F0703A92-AF24-4C57-A094-EB2E4DD20C4B}"/>
    <hyperlink ref="AN19" r:id="rId7" display="https://www.ceda.co.bw/" xr:uid="{CA27383A-6409-48D9-9E61-8B06F3DEF659}"/>
    <hyperlink ref="AN57" r:id="rId8" xr:uid="{3455B9A4-8AA1-4450-8658-922F0DDC28EE}"/>
    <hyperlink ref="AN58" r:id="rId9" xr:uid="{E2266D4A-F735-4A64-AFE0-598DA3C74EB4}"/>
    <hyperlink ref="AN150" r:id="rId10" display="https://www.cbn.gov.ng/OUT/PUBLICATIONS/REPORTS/RSD/2009/CBN%20DRAFT%20ANNUAL%20REPORT%20FOR%20THE%20YEAR%20ENDED%2031ST%20DECEMBER%202008%20-%20PART%202%20(ACTIVITIES%20OF%20CBN).PDF_x000a_https://nairametrics.com/wp-content/uploads/2012/04/smeeis-guideline1.pdf" xr:uid="{C3E737F3-B6D5-41A1-8797-83D9CA9432E6}"/>
    <hyperlink ref="AN134" r:id="rId11" display="https://www.world-today-news.com/maroc-pme-14034-self-employed-and-project-leaders-supported-in-2019/" xr:uid="{7C587CC9-6C51-4C39-9A48-505DF68A3205}"/>
    <hyperlink ref="AN55" r:id="rId12" xr:uid="{28B49F66-BACA-4B7B-B4E0-79D72E67D24B}"/>
    <hyperlink ref="AN237:AN240" r:id="rId13" display="https://openknowledge.worldbank.org/bitstream/handle/10986/12515/687340WP0P12080INAL0Nov00printable0.pdf?sequence=1&amp;isAllowed=y" xr:uid="{4FBCD69F-1D5A-4901-8B87-FEF9C5A23F40}"/>
    <hyperlink ref="AN207" r:id="rId14" xr:uid="{346A6ED2-B141-4B5C-AA9D-736FF623DA0E}"/>
    <hyperlink ref="AN206" r:id="rId15" xr:uid="{048220B7-5641-4A48-9433-C9484974EB12}"/>
    <hyperlink ref="AN68" r:id="rId16" xr:uid="{A53E1988-3164-429B-A09C-E0C3D4E16851}"/>
    <hyperlink ref="AN66" r:id="rId17" xr:uid="{62F8C12F-ACCE-4609-8CDB-EE03D6747F3E}"/>
    <hyperlink ref="AN164" r:id="rId18" xr:uid="{59FB9C83-7931-4255-8B18-28C7295E2364}"/>
    <hyperlink ref="AN165" r:id="rId19" xr:uid="{411901B5-2289-404B-B6CA-6125C5B51AEA}"/>
    <hyperlink ref="AN227" r:id="rId20" display="https://openknowledge.worldbank.org/bitstream/handle/10986/12515/687340WP0P12080INAL0Nov00printable0.pdf?sequence=1&amp;isAllowed=y" xr:uid="{0B2EB61F-EEC1-46AE-9C67-71AA100618F0}"/>
    <hyperlink ref="AN183" r:id="rId21" display="https://openknowledge.worldbank.org/bitstream/handle/10986/12515/687340WP0P12080INAL0Nov00printable0.pdf?sequence=1&amp;isAllowed=y" xr:uid="{2B1AE3F6-343F-4218-8539-AF8EE0EB08A3}"/>
    <hyperlink ref="AN192" r:id="rId22" xr:uid="{CAA638CC-0858-4DF7-9DB1-139D70C39F0F}"/>
    <hyperlink ref="AN41" r:id="rId23" display="http://www.fspme.agencecipme.ci/assets/doc/Ordonnance%20N%C2%B02020-384%20du%2015%20avril%202020%20portant%20creation,%20attributions,%20organisation%20et%20fonctionnement%20du%20Fonds%20de%20Soutien%20aux%20Petites%20et%20Moyennes%20Entreprises-denomm%C3%A9%20FSPME-COVID19.pdf ;  http://www.fspme.agencecipme.ci/  " xr:uid="{4C584333-FDF0-41D3-903C-FECECDF327D8}"/>
    <hyperlink ref="AN52" r:id="rId24" display="http://www.msmeda.org.eg/AboutUs.html;_x000a_http://www.msmeda.org.eg/services_fund.html_x000a_;https://www.oecd-ilibrary.org/sites/9789264304161-11-en/index.html?itemId=/content/component/9789264304161-11-en&amp;__cf_chl_jschl_tk__=468538a73f7d221d798a1d35542ac909d7067809-1605181722-0-AQpOm7tWI5X-Nr1ciFApkRNRnJSTFXbNWQrUnMCWciHBdW3BpsEUVN645Xk2DjISvFs3K0q0eUEVCogkq4Cpdlez5Wk1XbbUC7refR62caQGsxfe3jo1ef_slj8deEwt-C38SltXGNBXtpzVBzaLfFTzo6rXQ5JW9zxoyeYysOA6Xy4gOtSNnTqPP8fxtFUy7YhehZMw-eXPNPRwlmy-7cXGXqzto0H5ziPjbDGEoIPdVPlgXoQeVavK4KHjXj8LSSdC1ctcQE8ZCr576zUcL22yndT8HtFm7KCFlJL781QKqrVGOwQ8nMF8kfTpo1ij9Fv1ujtuaxicBZsMmBwlLEm3Td1Rkyr8SohYWubQEfTYaWPlt-dbMpJz3cSMTW1x0iNR1h3PWffZO2dTzWbrQO4m7JWfsFkZx3wpzhwrZiH9_x000a_https://akhbarelyom.com/news/newdetails/3148245/1/-%D8%AA%D9%86%D9%85%D9%8A%D8%A9-%D8%A7%D9%84%D9%85%D8%B4%D8%B1%D9%88%D8%B9%D8%A7%D8%AA--%D9%8A%D9%82%D8%AF%D9%85-%D8%AE%D8%AF%D9%85%D8%A7%D8%AA-%D8%BA%D9%8A%D8%B1-%D9%85%D8%A7%D9%84%D9%8A%D8%A9-%D9%84%D9%84%D8%B4%D8%A8%D8%A7%D8%A8-%D9%88%D8%B1%D9%88%D8%A7%D8%AF-%D8%A7%D9%84%D8%A3%D8%B9%D9%85%D8%A7%D9%84" xr:uid="{5C08A70C-5EC9-4323-8DB3-8C0BDC7BB343}"/>
    <hyperlink ref="AN13" r:id="rId25" xr:uid="{A308674B-C5B7-4467-A7EB-E2D57B781FBA}"/>
    <hyperlink ref="AN15" r:id="rId26" xr:uid="{4986F776-787B-49D9-9ACE-AAD7D66C7C39}"/>
    <hyperlink ref="AN176" r:id="rId27" xr:uid="{86720863-3016-49AF-9B9F-9E35EFF5FCD0}"/>
    <hyperlink ref="AN180" r:id="rId28" xr:uid="{50F3469A-38ED-4FCF-9F2D-2859444C4508}"/>
    <hyperlink ref="AN162" r:id="rId29" xr:uid="{6F83892D-9AC1-497C-AEB6-D73076A84379}"/>
    <hyperlink ref="AN161" r:id="rId30" xr:uid="{76EE1993-2B4E-4701-900F-72C610906BC6}"/>
    <hyperlink ref="AN37" r:id="rId31" xr:uid="{D4BB9CF5-F2DB-41DD-8646-8ECDA9BDEBCD}"/>
    <hyperlink ref="AN80" r:id="rId32" xr:uid="{48666C39-65D7-44CF-AFD8-848A7593A963}"/>
    <hyperlink ref="AN81" r:id="rId33" xr:uid="{09CCCFD2-C889-4A3A-940D-BE1A8FDDDC72}"/>
    <hyperlink ref="AN34" r:id="rId34" xr:uid="{8658558D-0B97-42B5-AB01-AA256438D82B}"/>
    <hyperlink ref="AN69" r:id="rId35" xr:uid="{229D794F-D995-4076-9A13-7E79BC051C78}"/>
    <hyperlink ref="AN67" r:id="rId36" xr:uid="{A965D6E4-2A15-4D24-8C28-E4A8FE727B61}"/>
    <hyperlink ref="AN220" r:id="rId37" xr:uid="{35DD2988-E6CC-4952-A748-673FFE0EDF65}"/>
    <hyperlink ref="AN146" r:id="rId38" xr:uid="{44E4B2B6-3465-41CE-BED2-88A03D3FFEB2}"/>
    <hyperlink ref="AN147" r:id="rId39" xr:uid="{2A59A2F4-4F7E-4402-9AA0-00B644D2A6A6}"/>
    <hyperlink ref="AN213" r:id="rId40" xr:uid="{637FB9E9-7BD7-4969-B13E-82DA91924914}"/>
    <hyperlink ref="AN31" r:id="rId41" xr:uid="{4CE8801E-8F8A-4AF7-9047-872DF816A912}"/>
    <hyperlink ref="AN170" r:id="rId42" display="https://www.brd.rw/brd/wp-content/uploads/2020/06/BRD_Annual_Report_2019.pdf_x000a_https://allafrica.com/stories/201910310033.html_x000a_https://www.newtimes.co.rw/news/three-years-how-impactful-has-export-growth-fund-been_x000a_https://www.brd.rw/brd/proin-sodales-quam-nec-ante-sollicits/" xr:uid="{4454A490-CEED-463F-B9AC-2324E9DED0D5}"/>
    <hyperlink ref="AN169" r:id="rId43" display="https://www.infodev.org/infodev-files/web_east_africa_report.pdf_x000a_http://www.minicom.gov.rw/index.php?id=24&amp;tx_ttnews[tt_news]=260&amp;cHash=04f438311552c543f654f9c9641b753c_x000a_https://make-it-initiative.org/africa/wp-content/uploads/sites/2/2020/03/Investment_Guide_Rwanda_V2.pdf" xr:uid="{5A617DA9-F80D-4C1E-ACD6-5D61D38FFDE4}"/>
    <hyperlink ref="AN30" r:id="rId44" xr:uid="{5BBA321A-0F37-4AA1-ABB7-8101767E14A2}"/>
    <hyperlink ref="AN111" r:id="rId45" xr:uid="{A2BE3362-D650-48E0-AA7C-C941510BF445}"/>
    <hyperlink ref="AN148" r:id="rId46" xr:uid="{67377E8B-C74F-4A9C-B18E-BA14096A73A4}"/>
    <hyperlink ref="AN22" r:id="rId47" xr:uid="{E1AA4D98-B85D-461A-990C-E64F3829B8B5}"/>
    <hyperlink ref="AN239" r:id="rId48" xr:uid="{210ED53D-83B4-46BC-B11A-108B8D8F5702}"/>
    <hyperlink ref="AN149" r:id="rId49" display="https://www.cbn.gov.ng/Out/2014/DFD/MSMEDF%20GUIDELINES%20%20.pdf" xr:uid="{86610B60-7222-49B0-A396-7BB3CB518A41}"/>
    <hyperlink ref="AN29" r:id="rId50" location="B" xr:uid="{90FA7191-9616-4B7A-9F3E-2ADC2872ECEF}"/>
    <hyperlink ref="AN28" r:id="rId51" xr:uid="{C9A092AA-9B3B-4924-8E0E-C117420574A8}"/>
    <hyperlink ref="AN27" r:id="rId52" xr:uid="{1D1251A3-B7C5-44FA-85CE-BBD43E92B9C6}"/>
    <hyperlink ref="AN126" r:id="rId53" xr:uid="{50117C94-0A76-4D69-BEBE-8BD1BDEECEC6}"/>
    <hyperlink ref="AN125" r:id="rId54" xr:uid="{DA04DC48-EB9D-4C5C-9DAE-FD6575DA24DA}"/>
    <hyperlink ref="AN124" r:id="rId55" xr:uid="{A22A7EF0-4872-4D83-B0D9-7DA53BB38382}"/>
    <hyperlink ref="AN205" r:id="rId56" xr:uid="{86E3F3C1-C5BF-4B8A-A3E6-EB70D54041C2}"/>
    <hyperlink ref="AN203" r:id="rId57" xr:uid="{B4874EB5-9CCD-4994-BB01-F9036D5C03F0}"/>
    <hyperlink ref="AN202" r:id="rId58" xr:uid="{655F7F81-ACEB-4BCC-8E1C-9F4A1CE63990}"/>
    <hyperlink ref="AN198" r:id="rId59" xr:uid="{D0914227-DE29-4144-A511-9AA285078304}"/>
    <hyperlink ref="AN197" r:id="rId60" xr:uid="{96627074-F4CA-4509-A018-D8F0835470F3}"/>
    <hyperlink ref="AN123" r:id="rId61" xr:uid="{F723E39E-F147-410E-A60F-3241FFE5D69E}"/>
    <hyperlink ref="AN160" r:id="rId62" display="https://z3n8y3h9.stackpathcdn.com/wp-content/uploads/2020/08/BOI-Annual-Report-2019-min.pdf" xr:uid="{5C110157-28BD-43A1-A59B-C41486E407C3}"/>
    <hyperlink ref="AN122" r:id="rId63" xr:uid="{6A0162B2-55A3-4B98-AA84-036CB962F9B8}"/>
    <hyperlink ref="AN103" r:id="rId64" xr:uid="{B5CEE1AE-96E8-42CD-B27D-5D492A5DE114}"/>
    <hyperlink ref="AN102" r:id="rId65" xr:uid="{A00B076D-7CDE-4094-ADE5-F653829D3CCF}"/>
    <hyperlink ref="AN131" r:id="rId66" xr:uid="{9E6850A2-DDA0-4DAC-9D9D-2D64F5F1D3C2}"/>
    <hyperlink ref="AN130" r:id="rId67" xr:uid="{4EAE8310-0DC5-4B97-80D9-8452868D427C}"/>
    <hyperlink ref="AN214" r:id="rId68" xr:uid="{99A2366C-B393-4F76-95F4-AC952F10D20D}"/>
    <hyperlink ref="AN196" r:id="rId69" xr:uid="{0B8F613F-3D7D-4952-978E-E2C39D7775E2}"/>
    <hyperlink ref="AN195" r:id="rId70" xr:uid="{BA5F922A-FFAF-43FA-9A45-DCF0FB5C57A7}"/>
    <hyperlink ref="AN194" r:id="rId71" xr:uid="{42022701-E330-47E0-8D23-9843AAB51504}"/>
    <hyperlink ref="AN129" r:id="rId72" xr:uid="{2B84BAD3-14BA-445B-92F7-816A57AC27B0}"/>
    <hyperlink ref="AN193" r:id="rId73" xr:uid="{133DCA6C-23D6-4C48-9F24-985D5D3326B8}"/>
    <hyperlink ref="AN182" r:id="rId74" xr:uid="{C48A5A90-274D-4F82-A974-80E587A960F0}"/>
    <hyperlink ref="AN191" r:id="rId75" xr:uid="{9836C7D5-FBB2-4310-8FDA-6D456125D58B}"/>
    <hyperlink ref="AN143" r:id="rId76" xr:uid="{A67540F0-9CF9-46EA-B8E6-DDACCC653ECD}"/>
    <hyperlink ref="AN144" r:id="rId77" xr:uid="{436179B2-82CF-45DB-9FF3-75EB7A333932}"/>
    <hyperlink ref="AN142" r:id="rId78" xr:uid="{2D0C394B-E79D-4750-B663-DE3A15CAA9B2}"/>
    <hyperlink ref="AN141" r:id="rId79" xr:uid="{9B6FAE7E-C690-4B8F-AB15-CC69F6E98C16}"/>
    <hyperlink ref="AN9" r:id="rId80" xr:uid="{25973CAC-32A7-43C2-B7DD-2875B7FCA7F5}"/>
    <hyperlink ref="AN173" r:id="rId81" xr:uid="{DA270F44-7F85-41EC-9848-30E7608BB93E}"/>
    <hyperlink ref="AN72" r:id="rId82" display="https://www.mfw4a.org/news/africa-financial-sector-responses-covid-19-gabon" xr:uid="{24B0F9AF-DDBA-4181-A087-45D6662F37D9}"/>
    <hyperlink ref="AN73" r:id="rId83" display="https://www.mfw4a.org/news/africa-financial-sector-responses-covid-19-gabon" xr:uid="{8B66F748-13C0-4B68-B0C4-C20AC54EADF6}"/>
    <hyperlink ref="AN117" r:id="rId84" xr:uid="{D9E5186C-0F99-41E7-89A0-DC4493FD1FC7}"/>
    <hyperlink ref="AN128" r:id="rId85" xr:uid="{D71A290C-7295-4E69-981E-1E5BD1D4A27F}"/>
    <hyperlink ref="AN40" r:id="rId86" xr:uid="{A31F31A8-E370-4D46-88C3-70F6A8BE352F}"/>
    <hyperlink ref="AN104" r:id="rId87" xr:uid="{ACB03D7E-A7CA-4FE1-85BB-E40D273BB3A3}"/>
    <hyperlink ref="AN127" r:id="rId88" xr:uid="{8F7E17BC-945F-4B3E-81BB-2F11BC4F3AA7}"/>
    <hyperlink ref="AN236" r:id="rId89" xr:uid="{257F6C75-61D4-41D4-BDBF-01105A445A5A}"/>
    <hyperlink ref="AN39" r:id="rId90" xr:uid="{E87E0B4E-217E-4FEA-B860-1B7E208B833C}"/>
    <hyperlink ref="AN235" r:id="rId91" xr:uid="{B52447D5-D24C-44EC-9315-13BA25E3E7CE}"/>
    <hyperlink ref="AN234" r:id="rId92" xr:uid="{E887C96E-14E4-48B6-A3EF-13466A398B58}"/>
    <hyperlink ref="AN233" r:id="rId93" xr:uid="{1CA37539-62E2-44DE-BAD6-537BE5278A20}"/>
    <hyperlink ref="AN223" r:id="rId94" xr:uid="{E0E79C58-5CEE-426B-BF41-73E7AB0C5CBA}"/>
    <hyperlink ref="AN33" r:id="rId95" display="https://projects.worldbank.org/en/projects-operations/project-detail/p107456" xr:uid="{7F85A52D-5504-4CA7-A9FF-185880ACC3BE}"/>
    <hyperlink ref="AN140" r:id="rId96" xr:uid="{9FF30D8A-0C68-428D-BE2E-59127F4008E8}"/>
    <hyperlink ref="AN139" r:id="rId97" display="http://smebank.com.na/" xr:uid="{37E4BD72-0B4F-4E6C-A0E2-23081EB34E7D}"/>
    <hyperlink ref="AN138" r:id="rId98" xr:uid="{8BBF2DF0-242B-4FC6-9CE3-8B8977AFFE8B}"/>
    <hyperlink ref="AN137" r:id="rId99" xr:uid="{B24C7944-85A8-424C-8B13-FA3A22CBEC95}"/>
    <hyperlink ref="AN116" r:id="rId100" xr:uid="{0A9B3046-2E94-4831-AC45-94F0C22741BD}"/>
    <hyperlink ref="AN136" r:id="rId101" location=":~:text=The%20SME%20Financing%20Strategy%20is,and%20other%20private%20sector%20financiers.&amp;text=The%20products%20are%20co%2Dfinanced,enhancing%20scalability%2C%20governance%20and%20impact." display="https://mof.gov.na/documents/35641/36580/Statement+Marking+the+Launch+of+SME+Financing+Strategy_HS+2019.pdf/cc5e5219-9492-ae99-aa83-67b250792c87#:~:text=The%20SME%20Financing%20Strategy%20is,and%20other%20private%20sector%20financiers.&amp;text=The%20products%20are%20co%2Dfinanced,enhancing%20scalability%2C%20governance%20and%20impact." xr:uid="{1EFE1B17-0230-4338-865D-A8614E93C7E8}"/>
    <hyperlink ref="AN59" r:id="rId102" display="https://shabait.com/2016/12/10/smcp-reaching-nationals-across-the-nation/" xr:uid="{771895F0-069D-4B55-A9D8-B8B066B0175F}"/>
    <hyperlink ref="AN71" r:id="rId103" xr:uid="{12A2357B-2529-475C-BC4A-579B2070918D}"/>
    <hyperlink ref="AN174" r:id="rId104" xr:uid="{EFAA48FB-F784-4A8E-A94B-4785AD0C5ED4}"/>
    <hyperlink ref="AN70" r:id="rId105" display="https://projects.worldbank.org/en/projects-operations/project-detail/P129267" xr:uid="{3898B586-3141-49CF-BC59-E0B2FED138E3}"/>
    <hyperlink ref="AN232" r:id="rId106" xr:uid="{840742F0-92FC-4459-9681-B842FC62B967}"/>
    <hyperlink ref="AN231" r:id="rId107" location=":~:text=Uganda's%20Poverty%20Eradication%20Action%20Plan%20(PEAP)%20is%20established%20on%20four,for%20economic%20growth%20and%20transformation&amp;text=Directly%20increasing%20the%20ability%20of,the%20life%20of%20the%20poor." display="https://www.imf.org/external/NP/prsp/2000/Uga/01/#:~:text=Uganda's%20Poverty%20Eradication%20Action%20Plan%20(PEAP)%20is%20established%20on%20four,for%20economic%20growth%20and%20transformation&amp;text=Directly%20increasing%20the%20ability%20of,the%20life%20of%20the%20poor." xr:uid="{C141A010-AA11-402F-8A34-A751690C7F99}"/>
    <hyperlink ref="AN230" r:id="rId108" xr:uid="{2AFB7A19-AFD1-4BAC-8F45-DFD947775E8A}"/>
    <hyperlink ref="AN229" r:id="rId109" location="page=1&amp;zoom=auto,-13,842" display="https://www.afdb.org/sites/all/libraries/pdf.js/web/viewer.html?file=https%3A%2F%2Fwww.afdb.org%2Fsites%2Fdefault%2Ffiles%2Fdocuments%2Fprojects-and-operations%2Fuganda_-_covid-19_crisis_response_budget_support_program_crsp_-_appraisal_report.pdf#page=1&amp;zoom=auto,-13,842" xr:uid="{C61A583A-D29A-43C9-8D22-FFE1A1274384}"/>
    <hyperlink ref="AN222" r:id="rId110" xr:uid="{AF8C83EF-53B8-4F5A-84E0-83B078DF53A6}"/>
    <hyperlink ref="AN45" r:id="rId111" display="http://documents1.worldbank.org/curated/en/462471527192967678/pdf/DJIBOUTI-PAD-05212018.pdf" xr:uid="{83BCB595-067A-4EF1-AEC1-D92E00294A5E}"/>
    <hyperlink ref="AN101" r:id="rId112" xr:uid="{E16F00DE-9B01-4FFD-AE5F-71FDB15F5403}"/>
    <hyperlink ref="AN44" r:id="rId113" display="https://www.presidence.dj/conseilministresuite.php?ID=7&amp;ID2=2016-03-15" xr:uid="{98A9AE92-9116-4BC7-BDBB-4032B48D8F0C}"/>
    <hyperlink ref="AN53" r:id="rId114" display="https://projects.worldbank.org/en/projects-operations/project-detail/P162835" xr:uid="{B47BA0F2-E124-4130-8F56-CB0AA642A25D}"/>
    <hyperlink ref="AN51" r:id="rId115" xr:uid="{717C5197-286F-4F82-AD5E-A810B677DCEE}"/>
    <hyperlink ref="AN50" r:id="rId116" xr:uid="{18FB79B2-227A-495A-8B8B-80DE83888590}"/>
    <hyperlink ref="AN181" r:id="rId117" xr:uid="{9BF3C450-BDEF-4795-84B4-F20FB98AE033}"/>
    <hyperlink ref="AN179" r:id="rId118" display="https://adepme.sn/index.php/iso-program-india-senegal-overseas/" xr:uid="{D3F9074D-DEC8-4458-96C6-B09D4259464A}"/>
    <hyperlink ref="AN178" r:id="rId119" xr:uid="{F3345497-47B7-4A1E-8600-1083A50801CA}"/>
    <hyperlink ref="AN177" r:id="rId120" xr:uid="{99642418-01F6-4290-AFC9-B3AD7066A87C}"/>
    <hyperlink ref="AN175" r:id="rId121" xr:uid="{C015BA8F-D7AE-466F-BB58-C17A73E77D35}"/>
    <hyperlink ref="AN12" r:id="rId122" xr:uid="{1E692D38-DB01-4A84-9F98-B829CC82765F}"/>
    <hyperlink ref="AN121" r:id="rId123" xr:uid="{AC164710-11BC-44F0-899B-FCE12ADBA1D2}"/>
    <hyperlink ref="AN11" r:id="rId124" display="https://www.ao.undp.org/content/angola/en/home/operations/projects/poverty_reduction/AEP.html" xr:uid="{2F49C75D-7269-409D-8E99-6FD453CC623E}"/>
    <hyperlink ref="AN10" r:id="rId125" xr:uid="{0EAC51F2-A42A-49A0-A9C1-4BECC009663C}"/>
    <hyperlink ref="AN7" r:id="rId126" xr:uid="{011A598A-F2E5-483E-A924-CA766A3E97C4}"/>
    <hyperlink ref="AN120" r:id="rId127" xr:uid="{54EE5705-0FA8-4D3C-8E38-7B568B77B381}"/>
    <hyperlink ref="AN8" r:id="rId128" xr:uid="{8556F3F5-31D2-4499-92E1-F26550B2C7B0}"/>
    <hyperlink ref="AN172" r:id="rId129" xr:uid="{3ECE8887-55AC-4B2C-9A70-49A6DD69B2BC}"/>
    <hyperlink ref="AN171" r:id="rId130" xr:uid="{28D643E6-FA78-43A0-A2FC-90E8A8664816}"/>
    <hyperlink ref="AN119" r:id="rId131" xr:uid="{6AD3EB90-B15E-46EE-A826-A4BC5E79D636}"/>
    <hyperlink ref="AN98" r:id="rId132" xr:uid="{03DC589C-BE61-45C6-9F2C-6DA8C4F08A5D}"/>
    <hyperlink ref="AN118" r:id="rId133" xr:uid="{1AAC2851-AF2E-4120-9575-B1B9969FFDAE}"/>
    <hyperlink ref="AN100" r:id="rId134" xr:uid="{53C31302-E77E-4B4C-8983-DF098CB88E92}"/>
    <hyperlink ref="AN190" r:id="rId135" xr:uid="{6EBA3A90-68CF-4042-B6BF-D0380039BAFC}"/>
    <hyperlink ref="AN49" r:id="rId136" display="https://www.mfw4a.org/news/egypt-unveils-new-programme-finance-350000-smes" xr:uid="{868ED1A0-FCA7-40F1-82AF-853194D711E7}"/>
    <hyperlink ref="AN48" r:id="rId137" display="https://oxfordbusinessgroup.com/analysis/opening-doors-lending-initiatives-are-increasing-access-finance-small-and-medium-sized-enterprises_x000a_https://www.ebi.gov.eg/small-and-medium-enterprises/_x000a_https://www.researchgate.net/publication/312121368_Small_and_Medium_Enterprises_in_Egypt_New_Facts_from_a_New_Dataset" xr:uid="{47EA2B02-E52E-48B0-8C3F-E810AAF82B85}"/>
    <hyperlink ref="AN97" r:id="rId138" xr:uid="{AAF2D1EE-44DE-425D-B6EF-93EEA0CBC26C}"/>
    <hyperlink ref="AN105" r:id="rId139" location=":~:text=Le%20programme%20d'Appui%20%C3%A0,une%20p%C3%A9riode%20de%205%20ans.&amp;text=La%20FCCIM%20est%20une%20structure,promotion%20du%20secteur%20priv%C3%A9%20local. " xr:uid="{E1B67325-35FC-440F-9496-598915BAEF3C}"/>
    <hyperlink ref="AN82" r:id="rId140" display="http://www.fundei.net/index.php?option=com_content&amp;view=article&amp;id=50&amp;Itemid=54 " xr:uid="{C1206FDF-0703-4027-98C4-1E2744B8493E}"/>
    <hyperlink ref="AN96" r:id="rId141" xr:uid="{BB4080BD-D923-4A83-837A-D765E5F5A206}"/>
    <hyperlink ref="AN47" r:id="rId142" xr:uid="{42729626-8CBE-451A-820A-DFA3C23882DA}"/>
    <hyperlink ref="AN46" r:id="rId143" display="http://documents1.worldbank.org/curated/en/100661593617404648/pdf/Egypt-Arab-Republic-of-Promoting-Innovation-for-Inclusive-Financial-Access-Project.pdf" xr:uid="{5AA59732-DFD2-4153-BEE4-D9029FF93249}"/>
    <hyperlink ref="AN94" r:id="rId144" xr:uid="{8D90BAFD-FB03-4436-AB15-75D032DB9B23}"/>
    <hyperlink ref="AN189" r:id="rId145" display="https://www.afdb.org/fileadmin/uploads/afdb/Documents/Procurement/Project-related-Procurement/GPN_-_Seychelles_-_Fund_for_Africa_Private_Sector_Assistance_%E2%80%93_FAPA_-_Seychelles_MSME_Development_Project_%E2%80%93_01_2015.pdf" xr:uid="{5680D340-E955-468C-84FB-6AD27D176DFE}"/>
    <hyperlink ref="AN188" r:id="rId146" display="https://www.cbs.sc/Downloads/covid19/PolicyMeasures/Update%20on%20Implementation%20of%20the%20Private%20Sector%20(MSMEs)%20Relief%20Scheme%20&amp;%20Private%20Sector%20(Large%20Enterprises)%20Relief%20Scheme%2030-10-2020.pdf" xr:uid="{20331660-6F69-42DD-95D9-45C24644A742}"/>
    <hyperlink ref="AN187" r:id="rId147" display="http://www.nation.sc/archive/240844/smes-to-benefit-from-new-interest-scheme" xr:uid="{91FD81A4-5070-41BD-8815-21127E67E01E}"/>
    <hyperlink ref="AN99" r:id="rId148" xr:uid="{C9E0E5A6-D6CB-42EA-81B5-80B504448AA9}"/>
    <hyperlink ref="AN115" r:id="rId149" xr:uid="{4A256477-1141-486B-B30E-4BE39BAC9FBB}"/>
    <hyperlink ref="AN114" r:id="rId150" display="http://documents1.worldbank.org/curated/en/604841589281422920/pdf/Project-Information-Document-Financial-Inclusion-and-Entrepreneurship-Scaling-Project-P168577.pdf" xr:uid="{C5A62FA9-600C-4479-BDCF-3D562D5FEC57}"/>
    <hyperlink ref="AN248" r:id="rId151" xr:uid="{9C3881C9-5D16-43EC-A1AB-6A5C12573F97}"/>
    <hyperlink ref="AN247" r:id="rId152" xr:uid="{26CB23AB-32E4-411F-BD22-F1342464960F}"/>
    <hyperlink ref="AN185" r:id="rId153" display="https://www.oag.sc/reports/seed-capital/download" xr:uid="{AE3A9EE5-A99D-46D5-AEAD-2171E5931088}"/>
    <hyperlink ref="AN65" r:id="rId154" xr:uid="{FE9698E7-1707-49D2-B5E1-3CE0D451A8FB}"/>
    <hyperlink ref="AN246" r:id="rId155" xr:uid="{5F0070C2-71F1-4A9C-8B18-0FE0A55E719C}"/>
    <hyperlink ref="AN245" r:id="rId156" location=":~:text=The%20Zimbabwe%20National%20Industrial%20Development,to%20achieve%20the%20above%20objectives.&amp;text=Various%20policies%20and%20strategies%20will,short%2Dto%2D%20medium%20term." display="http://www.miced.gov.zw/index.php?option=com_phocadownload&amp;view=category&amp;download=78:znidp-2019-2023&amp;id=3:zim-asset&amp;Itemid=758#:~:text=The%20Zimbabwe%20National%20Industrial%20Development,to%20achieve%20the%20above%20objectives.&amp;text=Various%20policies%20and%20strategies%20will,short%2Dto%2D%20medium%20term." xr:uid="{6BB07FDC-5E59-4C73-B575-A67761FC56B6}"/>
    <hyperlink ref="AN218" r:id="rId157" xr:uid="{1F43C901-0EA6-41E7-BE1B-92415C7BDA45}"/>
    <hyperlink ref="AN244" r:id="rId158" xr:uid="{CBA3F8B1-8D0C-4B10-BF3E-D630B51E8AAD}"/>
    <hyperlink ref="AN243" r:id="rId159" xr:uid="{D62DF6D0-B836-420A-9C22-C07F6E59498A}"/>
    <hyperlink ref="AN112" r:id="rId160" xr:uid="{50E516E1-E798-4479-896D-906906422BBD}"/>
    <hyperlink ref="AN168" r:id="rId161" display="https://taarifa.rw/mastercard-inkomoko-earmark-us2-3m-fund-for-small-businesses/" xr:uid="{5D0CE5EC-9EEC-4E31-9FDA-197367A34415}"/>
    <hyperlink ref="AN110" r:id="rId162" xr:uid="{49A08634-C0C5-43DC-B73A-5E17ADE434EA}"/>
    <hyperlink ref="AN109" r:id="rId163" xr:uid="{34413410-88D2-45E7-A5D4-9F190CC4E508}"/>
    <hyperlink ref="AN113" r:id="rId164" xr:uid="{6098BCAE-CD8D-4257-939E-050A5F26EF70}"/>
    <hyperlink ref="AN108" r:id="rId165" xr:uid="{CD27BAAE-726B-4234-94A4-8DD50630DA55}"/>
    <hyperlink ref="AN35" r:id="rId166" xr:uid="{C88297A2-5166-4E21-85B3-0508C90D38BB}"/>
    <hyperlink ref="AN157" r:id="rId167" display="https://businesspost.ng/showbiz/nigeria-begins-implementation-of-n22bn-creative-industry-scheme/" xr:uid="{6AA827BF-4ABD-467E-A836-12A47030FF89}"/>
    <hyperlink ref="AN158" r:id="rId168" display="https://nairametrics.com/2019/01/25/dbn-targets-n70-billion-credit-facilities-for-msmes/" xr:uid="{508105D5-8AF9-4669-B89C-730BB5740440}"/>
    <hyperlink ref="AN42" r:id="rId169" xr:uid="{D11E6FB3-5B18-4679-96A1-4640220690BE}"/>
    <hyperlink ref="AN24" r:id="rId170" xr:uid="{4784716F-BF89-46AC-BDB2-11DA6EDE3481}"/>
    <hyperlink ref="AN26" r:id="rId171" display="http://www.afppme.bf/ ; https://www.finances.gov.bf/forum/detail-actualites?tx_news_pi1%5Baction%5D=detail&amp;tx_news_pi1%5Bcontroller%5D=News&amp;tx_news_pi1%5Bnews%5D=182&amp;cHash=28535c87e7036940af5f5905b230839c ; https://www.finances.gov.bf/fileadmin/user_upload/storage/Mecanisme_FRE_COVID_19_VF.pdf" xr:uid="{F1F2C1E6-30DB-4FCC-B79D-A73980F16CC7}"/>
    <hyperlink ref="AN25" r:id="rId172" xr:uid="{9B3F950C-0E38-4E92-AB35-205D71C096DE}"/>
    <hyperlink ref="AN242" r:id="rId173" display="https://www.afgri.co.za/2016/08/02/zambia-daily-mail-article-natsave-invests-k16m-bunjimi-loans/" xr:uid="{7EDA13A6-55AD-4C69-B400-ED2C5B3275BE}"/>
    <hyperlink ref="AN240" r:id="rId174" xr:uid="{A4F9E1A2-8DFC-4E37-82B9-4144237984FF}"/>
    <hyperlink ref="AN241" r:id="rId175" xr:uid="{2AFF5133-D65C-4E94-BF3B-A4E6ACA45D8D}"/>
    <hyperlink ref="AN238" r:id="rId176" xr:uid="{870A1E6A-BA36-4558-BE81-D4B05D7A61DD}"/>
    <hyperlink ref="AN38" r:id="rId177" display="http://documents1.worldbank.org/curated/en/281071558663293548/pdf/Comoros-Integrated-Development-and-Competitiveness-Project.pdf" xr:uid="{3682541A-8042-4F66-9271-BB408BAFD29F}"/>
    <hyperlink ref="AN219" r:id="rId178" xr:uid="{4265DCB1-1AB8-4A8E-B99A-862D2AE09C2D}"/>
    <hyperlink ref="AN63" r:id="rId179" display="http://www.times.co.sz/business/129927-still-no-beneficiary-in-e45m-relief.html_x000a_http://new.observer.org.sz/details.php?id=14166_x000a_https://www.separc.co.sz/wp-content/uploads/2020/08/FINAL-POST-COVID-19-ECONOMIC-RECOVERY-PLAN-ESWATINI-14082020_compressed-1.pdf_x000a_https://independentnews.co.sz/government-announces-45-million-msme-revolving-fund/" xr:uid="{DEB03022-5698-4BBD-BE84-A217642D6CCB}"/>
    <hyperlink ref="AN62" r:id="rId180" xr:uid="{8D6E45AD-FDF5-4BA7-BAB1-07237A68610F}"/>
    <hyperlink ref="AN23" r:id="rId181" location=" " xr:uid="{707BC720-79CB-49D4-9BA6-E9FC833C05C4}"/>
    <hyperlink ref="AN201" r:id="rId182" xr:uid="{FD78D321-B2AC-4184-9BEF-6F0F2E78E9BD}"/>
    <hyperlink ref="AN200" r:id="rId183" xr:uid="{952AD23A-2080-4B35-982B-E662C544AD5E}"/>
    <hyperlink ref="AN199" r:id="rId184" xr:uid="{CCE07B30-AE76-4EBB-B528-E2CD78E52909}"/>
    <hyperlink ref="AN61" r:id="rId185" display="http://www.gov.sz/index.php?option=com_content&amp;view=category&amp;id=74" xr:uid="{3F0F41DF-84A0-4B58-86A2-E74BD13ED3AB}"/>
    <hyperlink ref="AN226" r:id="rId186" xr:uid="{AB1900C7-57B2-466A-9C5E-E21E3C5EAFBF}"/>
    <hyperlink ref="AN76" r:id="rId187" xr:uid="{FDC642BF-17E6-4F6E-B73A-8CD6A624A8FE}"/>
    <hyperlink ref="AN60" r:id="rId188" xr:uid="{EE7BE996-31D1-4B5C-B737-7D6ACDA2B20C}"/>
    <hyperlink ref="AN75" r:id="rId189" display="https://nbssi.gov.gh/" xr:uid="{ACB04FCC-9EB1-4FDC-84C5-E9954CB55A56}"/>
    <hyperlink ref="AN225" r:id="rId190" xr:uid="{4F49C8C8-E060-4D7E-AA17-EBF63B7875D6}"/>
    <hyperlink ref="AN217" r:id="rId191" xr:uid="{EFC2D87E-5D14-4B85-A623-CC76B4683512}"/>
    <hyperlink ref="AN216" r:id="rId192" display="https://um.dk/~/media/um/english-site/documents/danida/about-danida/danida%20transparency/documents/u%2037/2019/pass%20tanzania.pdf?la=en_x000a_https://www.thecitizen.co.tz/supplement/PASS-Trust-celebrates-20-years-of-support-to-the-agricultural-/5043016-5615498-nsjon2z/index.html" xr:uid="{B54FC80C-462E-4352-AC52-612614F32639}"/>
    <hyperlink ref="AN224" r:id="rId193" xr:uid="{0B56476B-C9E9-448B-8EBC-F9A502048090}"/>
    <hyperlink ref="AN93" r:id="rId194" display="https://www.afdb.org/fileadmin/uploads/afdb/Documents/Project-and-Operations/KENYA_-_Enable_Youth_-_Approved.PDF  ;  " xr:uid="{EBC33C1B-D9EE-4CAE-9F39-EA4F2EC64501}"/>
    <hyperlink ref="AN92" r:id="rId195" display="https://www.afdb.org/fileadmin/uploads/afdb/Documents/Project-and-Operations/KENYA_-_Enable_Youth_-_Approved.PDF ; https://www.afdb.org/fileadmin/uploads/afdb/Documents/Procurement/Project-related-Procurement/GPN_%E2%80%93_Kenya_-_Enable_Youth_Kenya_Program.pdf " xr:uid="{7DFE3C3A-70F0-4234-B172-CFE6E1A7AF15}"/>
    <hyperlink ref="AN91" r:id="rId196" display="http://mis.kyeop.go.ke/?page_id=6352  ;  " xr:uid="{9EFEBDD4-A850-4880-BC24-03CBC77C3F4E}"/>
    <hyperlink ref="AN215" r:id="rId197" display="http://www.tzdpg.or.tz/fileadmin/documents/dpg_internal/dpg_working_groups_clusters/cluster_1/psdtrade/Documents/Draft_report_on_gurantee_schemes.pdf" xr:uid="{DF9C310D-D076-48CB-A686-82AF6A214497}"/>
    <hyperlink ref="AN90" r:id="rId198" xr:uid="{E1CD6142-1084-4F94-965E-807F513C4FF8}"/>
    <hyperlink ref="AN89" r:id="rId199" xr:uid="{811D6D1E-0DDA-43DA-80FC-226DED5CD12E}"/>
    <hyperlink ref="AN167" r:id="rId200" display="https://www.bdf.rw/wp-content/uploads/2020/10/BDF_Annual-Report-2019-1.pdf" xr:uid="{083C398A-F411-476A-8668-BA86562E9B5B}"/>
    <hyperlink ref="AN163" r:id="rId201" xr:uid="{BE03C541-DACF-41D2-A2EF-A4975167779A}"/>
    <hyperlink ref="AN166" r:id="rId202" display="http://hope-mag.com/index.php?com=news&amp;option=read&amp;ca=1&amp;a=4709" xr:uid="{90D27C1B-F39D-450F-B531-D4AF81FF03B0}"/>
    <hyperlink ref="AN88" r:id="rId203" xr:uid="{D87E9FA4-8260-40B7-84B5-4F3519315EA3}"/>
    <hyperlink ref="AN18" r:id="rId204" xr:uid="{830384C2-30A2-46EE-A34B-05C518147D5C}"/>
    <hyperlink ref="AN17" r:id="rId205" xr:uid="{9A8CE27B-09D4-4069-B4A7-579EBE85A3AE}"/>
    <hyperlink ref="AN87" r:id="rId206" display="https://www.wef.co.ke/" xr:uid="{D9AE9F35-FA2A-4789-B7BC-833DC4B3DDEB}"/>
    <hyperlink ref="AN6" r:id="rId207" display="https://www.investdz.com/2019/07/presentation-sme-credit-guarantee-EN.html" xr:uid="{A35DF21C-2CF4-45FE-9E8F-7B696D09D7BC}"/>
    <hyperlink ref="AN156" r:id="rId208" xr:uid="{F2B04374-70F0-45C3-9589-AB9342EAF3ED}"/>
    <hyperlink ref="AN154" r:id="rId209" display="https://www.cbn.gov.ng/Out/2010/publications/guidelines/dfd/GUIDELINES%20ON%20N200%20BILLION%20SME%20CREDIT%20GUARANTEE.pdf" xr:uid="{D87BC867-C666-48B9-8B96-EBA23BE46426}"/>
    <hyperlink ref="AN155" r:id="rId210" display="https://www.cbn.gov.ng/out/Publications/guidelines/dfd/1990/guidelines-acgsf.pdf" xr:uid="{B0831E57-4DAF-4522-B667-3A07C77C4D05}"/>
    <hyperlink ref="AN153" r:id="rId211" display="https://nairametrics.com/wp-content/uploads/2020/07/AGSMEIS-Guidelines-Revised-version2-Resolutions-21-final-1.pdf" xr:uid="{D827DBEC-ED63-40E4-939D-E1821F008926}"/>
    <hyperlink ref="AN152" r:id="rId212" display="https://twitter.com/NigeriaGov/status/1292774687668396033/photo/1" xr:uid="{3BE39798-B33F-4AEB-91F2-FA7D2D7E7BB8}"/>
    <hyperlink ref="AN151" r:id="rId213" display="https://dailytrust.com/payroll-fund-over-400000-businesses-applied-office" xr:uid="{DDC07D5E-A64E-41D0-A1DD-00C941D009D2}"/>
    <hyperlink ref="AN86" r:id="rId214" display="https://www.uwezo.go.ke/ " xr:uid="{B6123945-A451-4218-BF4C-2C310EE9E8B5}"/>
    <hyperlink ref="AN85" r:id="rId215" display="http://www.youthfund.go.ke/ " xr:uid="{27C9F918-A97A-4F2F-A939-9C6000C75FC0}"/>
    <hyperlink ref="AN78" r:id="rId216" display="https://allafrica.com/stories/202009170838.html" xr:uid="{56C3C509-6FD9-4C6C-B53C-8F92C710918C}"/>
    <hyperlink ref="AN237" r:id="rId217" xr:uid="{6C60FFF8-E60A-486E-A16E-A54198D1A853}"/>
    <hyperlink ref="AN77" r:id="rId218" xr:uid="{E0511C34-8A7C-4C3E-8454-903D6D1C87DA}"/>
    <hyperlink ref="AN84" r:id="rId219" location=":~:text=The%20Access%20to%20Government%20Procurement,and%20the%20Public%20Procurement%20and " xr:uid="{DC5E36E4-B4BB-451A-A898-316115A6C7FB}"/>
    <hyperlink ref="AN74" r:id="rId220" xr:uid="{74B1E155-4A13-4B66-B82E-1012EB6E0B8A}"/>
    <hyperlink ref="AN21" r:id="rId221" xr:uid="{96B1970A-85B1-4530-94B9-B709770A1421}"/>
    <hyperlink ref="AN83" r:id="rId222" display="https://khusoko.com/2020/09/11/kenya-cabinet-approves-establishment-of-credit-guarantee-scheme-with-ksh-10-billion-capital/;" xr:uid="{D3DB46AE-5AF5-4C47-AEF1-D20A8AE66705}"/>
    <hyperlink ref="AN20" r:id="rId223" xr:uid="{4912FE40-5EC6-4C86-8E33-16C50EC87EB4}"/>
    <hyperlink ref="AN16" r:id="rId224" xr:uid="{D44B2DC1-AA17-44B0-81F4-3F862CF4B62C}"/>
    <hyperlink ref="AN14" r:id="rId225" xr:uid="{2ECCE685-92D0-499C-A7EB-C8E4803757D3}"/>
  </hyperlinks>
  <pageMargins left="0.7" right="0.7" top="0.75" bottom="0.75" header="0.3" footer="0.3"/>
  <pageSetup paperSize="9" orientation="portrait" r:id="rId226"/>
  <legacyDrawing r:id="rId227"/>
  <extLst>
    <ext xmlns:x14="http://schemas.microsoft.com/office/spreadsheetml/2009/9/main" uri="{CCE6A557-97BC-4b89-ADB6-D9C93CAAB3DF}">
      <x14:dataValidations xmlns:xm="http://schemas.microsoft.com/office/excel/2006/main" count="3">
        <x14:dataValidation type="list" allowBlank="1" showInputMessage="1" showErrorMessage="1" xr:uid="{81690FE2-1E81-4101-A675-554968A361A5}">
          <x14:formula1>
            <xm:f>'C:\Users\Vera\AppData\Local\Packages\Microsoft.MicrosoftEdge_8wekyb3d8bbwe\TempState\Downloads\[MSME catalogue database_offline_0411_10_21 (2) (1).xlsx]Lists'!#REF!</xm:f>
          </x14:formula1>
          <xm:sqref>T96:T98 Y96:AA98 E96:E98 M96:M98 V96:V98</xm:sqref>
        </x14:dataValidation>
        <x14:dataValidation type="list" allowBlank="1" showInputMessage="1" showErrorMessage="1" xr:uid="{5CB1409F-34C8-42F6-B6E8-7CD7084AEDC2}">
          <x14:formula1>
            <xm:f>'Drop-down'!$A$47:$A$54</xm:f>
          </x14:formula1>
          <xm:sqref>X7:X248</xm:sqref>
        </x14:dataValidation>
        <x14:dataValidation type="list" allowBlank="1" showInputMessage="1" showErrorMessage="1" xr:uid="{7B527473-84AD-4BC6-BBEC-F614BCA34F42}">
          <x14:formula1>
            <xm:f>'Drop-down'!$A$76:$A$78</xm:f>
          </x14:formula1>
          <xm:sqref>W6:W248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C299-E46E-4E57-90A3-E66CE25943F5}">
  <dimension ref="A1:A78"/>
  <sheetViews>
    <sheetView topLeftCell="A34" workbookViewId="0">
      <selection activeCell="E51" sqref="E51"/>
    </sheetView>
  </sheetViews>
  <sheetFormatPr defaultColWidth="11.42578125" defaultRowHeight="15" x14ac:dyDescent="0.25"/>
  <cols>
    <col min="1" max="1" width="21.5703125" style="10" bestFit="1" customWidth="1"/>
    <col min="2" max="16384" width="11.42578125" style="10"/>
  </cols>
  <sheetData>
    <row r="1" spans="1:1" s="11" customFormat="1" x14ac:dyDescent="0.25">
      <c r="A1" s="3" t="s">
        <v>2227</v>
      </c>
    </row>
    <row r="2" spans="1:1" x14ac:dyDescent="0.25">
      <c r="A2" s="11" t="s">
        <v>351</v>
      </c>
    </row>
    <row r="3" spans="1:1" x14ac:dyDescent="0.25">
      <c r="A3" s="11" t="s">
        <v>331</v>
      </c>
    </row>
    <row r="4" spans="1:1" x14ac:dyDescent="0.25">
      <c r="A4" s="11" t="s">
        <v>339</v>
      </c>
    </row>
    <row r="5" spans="1:1" x14ac:dyDescent="0.25">
      <c r="A5" s="11" t="s">
        <v>130</v>
      </c>
    </row>
    <row r="7" spans="1:1" x14ac:dyDescent="0.25">
      <c r="A7" s="11" t="s">
        <v>351</v>
      </c>
    </row>
    <row r="8" spans="1:1" x14ac:dyDescent="0.25">
      <c r="A8" s="11" t="s">
        <v>335</v>
      </c>
    </row>
    <row r="9" spans="1:1" x14ac:dyDescent="0.25">
      <c r="A9" s="11" t="s">
        <v>601</v>
      </c>
    </row>
    <row r="11" spans="1:1" x14ac:dyDescent="0.25">
      <c r="A11" s="11" t="s">
        <v>42</v>
      </c>
    </row>
    <row r="12" spans="1:1" x14ac:dyDescent="0.25">
      <c r="A12" s="11" t="s">
        <v>252</v>
      </c>
    </row>
    <row r="13" spans="1:1" x14ac:dyDescent="0.25">
      <c r="A13" s="11" t="s">
        <v>24</v>
      </c>
    </row>
    <row r="14" spans="1:1" x14ac:dyDescent="0.25">
      <c r="A14" s="11" t="s">
        <v>30</v>
      </c>
    </row>
    <row r="15" spans="1:1" x14ac:dyDescent="0.25">
      <c r="A15" s="11" t="s">
        <v>197</v>
      </c>
    </row>
    <row r="17" spans="1:1" x14ac:dyDescent="0.25">
      <c r="A17" s="11" t="s">
        <v>148</v>
      </c>
    </row>
    <row r="18" spans="1:1" x14ac:dyDescent="0.25">
      <c r="A18" s="11" t="s">
        <v>149</v>
      </c>
    </row>
    <row r="19" spans="1:1" x14ac:dyDescent="0.25">
      <c r="A19" s="11" t="s">
        <v>150</v>
      </c>
    </row>
    <row r="20" spans="1:1" x14ac:dyDescent="0.25">
      <c r="A20" s="11" t="s">
        <v>151</v>
      </c>
    </row>
    <row r="22" spans="1:1" x14ac:dyDescent="0.25">
      <c r="A22" s="11" t="s">
        <v>331</v>
      </c>
    </row>
    <row r="23" spans="1:1" x14ac:dyDescent="0.25">
      <c r="A23" s="11" t="s">
        <v>512</v>
      </c>
    </row>
    <row r="24" spans="1:1" x14ac:dyDescent="0.25">
      <c r="A24" s="11" t="s">
        <v>380</v>
      </c>
    </row>
    <row r="25" spans="1:1" x14ac:dyDescent="0.25">
      <c r="A25" s="11" t="s">
        <v>130</v>
      </c>
    </row>
    <row r="26" spans="1:1" x14ac:dyDescent="0.25">
      <c r="A26" s="11" t="s">
        <v>339</v>
      </c>
    </row>
    <row r="28" spans="1:1" x14ac:dyDescent="0.25">
      <c r="A28" s="11" t="s">
        <v>351</v>
      </c>
    </row>
    <row r="29" spans="1:1" x14ac:dyDescent="0.25">
      <c r="A29" s="11" t="s">
        <v>331</v>
      </c>
    </row>
    <row r="30" spans="1:1" x14ac:dyDescent="0.25">
      <c r="A30" s="11" t="s">
        <v>130</v>
      </c>
    </row>
    <row r="32" spans="1:1" x14ac:dyDescent="0.25">
      <c r="A32" s="11" t="s">
        <v>78</v>
      </c>
    </row>
    <row r="33" spans="1:1" x14ac:dyDescent="0.25">
      <c r="A33" s="11" t="s">
        <v>84</v>
      </c>
    </row>
    <row r="34" spans="1:1" x14ac:dyDescent="0.25">
      <c r="A34" s="11" t="s">
        <v>90</v>
      </c>
    </row>
    <row r="35" spans="1:1" x14ac:dyDescent="0.25">
      <c r="A35" s="11" t="s">
        <v>96</v>
      </c>
    </row>
    <row r="36" spans="1:1" x14ac:dyDescent="0.25">
      <c r="A36" s="11" t="s">
        <v>102</v>
      </c>
    </row>
    <row r="37" spans="1:1" x14ac:dyDescent="0.25">
      <c r="A37" s="11" t="s">
        <v>108</v>
      </c>
    </row>
    <row r="38" spans="1:1" x14ac:dyDescent="0.25">
      <c r="A38" s="11" t="s">
        <v>114</v>
      </c>
    </row>
    <row r="39" spans="1:1" x14ac:dyDescent="0.25">
      <c r="A39" s="11" t="s">
        <v>120</v>
      </c>
    </row>
    <row r="40" spans="1:1" x14ac:dyDescent="0.25">
      <c r="A40" s="11" t="s">
        <v>126</v>
      </c>
    </row>
    <row r="42" spans="1:1" x14ac:dyDescent="0.25">
      <c r="A42" s="11" t="s">
        <v>250</v>
      </c>
    </row>
    <row r="43" spans="1:1" x14ac:dyDescent="0.25">
      <c r="A43" s="11" t="s">
        <v>43</v>
      </c>
    </row>
    <row r="44" spans="1:1" x14ac:dyDescent="0.25">
      <c r="A44" s="11" t="s">
        <v>248</v>
      </c>
    </row>
    <row r="45" spans="1:1" x14ac:dyDescent="0.25">
      <c r="A45" s="11" t="s">
        <v>25</v>
      </c>
    </row>
    <row r="47" spans="1:1" x14ac:dyDescent="0.25">
      <c r="A47" s="11" t="s">
        <v>461</v>
      </c>
    </row>
    <row r="48" spans="1:1" x14ac:dyDescent="0.25">
      <c r="A48" s="11" t="s">
        <v>425</v>
      </c>
    </row>
    <row r="49" spans="1:1" x14ac:dyDescent="0.25">
      <c r="A49" s="11" t="s">
        <v>1489</v>
      </c>
    </row>
    <row r="50" spans="1:1" x14ac:dyDescent="0.25">
      <c r="A50" s="11" t="s">
        <v>490</v>
      </c>
    </row>
    <row r="51" spans="1:1" x14ac:dyDescent="0.25">
      <c r="A51" s="11" t="s">
        <v>1499</v>
      </c>
    </row>
    <row r="52" spans="1:1" x14ac:dyDescent="0.25">
      <c r="A52" s="11" t="s">
        <v>338</v>
      </c>
    </row>
    <row r="53" spans="1:1" x14ac:dyDescent="0.25">
      <c r="A53" s="11" t="s">
        <v>131</v>
      </c>
    </row>
    <row r="54" spans="1:1" x14ac:dyDescent="0.25">
      <c r="A54" s="11" t="s">
        <v>130</v>
      </c>
    </row>
    <row r="55" spans="1:1" x14ac:dyDescent="0.25">
      <c r="A55" s="11"/>
    </row>
    <row r="57" spans="1:1" x14ac:dyDescent="0.25">
      <c r="A57" s="11" t="s">
        <v>529</v>
      </c>
    </row>
    <row r="58" spans="1:1" x14ac:dyDescent="0.25">
      <c r="A58" s="11" t="s">
        <v>751</v>
      </c>
    </row>
    <row r="59" spans="1:1" x14ac:dyDescent="0.25">
      <c r="A59" s="11" t="s">
        <v>2228</v>
      </c>
    </row>
    <row r="63" spans="1:1" x14ac:dyDescent="0.25">
      <c r="A63" s="11" t="s">
        <v>2229</v>
      </c>
    </row>
    <row r="64" spans="1:1" x14ac:dyDescent="0.25">
      <c r="A64" s="11" t="s">
        <v>2230</v>
      </c>
    </row>
    <row r="65" spans="1:1" x14ac:dyDescent="0.25">
      <c r="A65" s="11" t="s">
        <v>2231</v>
      </c>
    </row>
    <row r="66" spans="1:1" x14ac:dyDescent="0.25">
      <c r="A66" s="11" t="s">
        <v>2232</v>
      </c>
    </row>
    <row r="67" spans="1:1" x14ac:dyDescent="0.25">
      <c r="A67" s="11" t="s">
        <v>339</v>
      </c>
    </row>
    <row r="68" spans="1:1" x14ac:dyDescent="0.25">
      <c r="A68" s="11" t="s">
        <v>601</v>
      </c>
    </row>
    <row r="70" spans="1:1" x14ac:dyDescent="0.25">
      <c r="A70" s="11" t="s">
        <v>2233</v>
      </c>
    </row>
    <row r="71" spans="1:1" x14ac:dyDescent="0.25">
      <c r="A71" s="11" t="s">
        <v>2234</v>
      </c>
    </row>
    <row r="72" spans="1:1" x14ac:dyDescent="0.25">
      <c r="A72" s="11" t="s">
        <v>2235</v>
      </c>
    </row>
    <row r="73" spans="1:1" x14ac:dyDescent="0.25">
      <c r="A73" s="11" t="s">
        <v>2236</v>
      </c>
    </row>
    <row r="74" spans="1:1" x14ac:dyDescent="0.25">
      <c r="A74" s="11" t="s">
        <v>130</v>
      </c>
    </row>
    <row r="76" spans="1:1" x14ac:dyDescent="0.25">
      <c r="A76" s="10" t="s">
        <v>351</v>
      </c>
    </row>
    <row r="77" spans="1:1" x14ac:dyDescent="0.25">
      <c r="A77" s="10" t="s">
        <v>2237</v>
      </c>
    </row>
    <row r="78" spans="1:1" x14ac:dyDescent="0.25">
      <c r="A78" s="10" t="s">
        <v>529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F82457D6CF574E93CB41C3ED8AAF97" ma:contentTypeVersion="9" ma:contentTypeDescription="Create a new document." ma:contentTypeScope="" ma:versionID="fc63da680857e21cee70c3caa3eac4fe">
  <xsd:schema xmlns:xsd="http://www.w3.org/2001/XMLSchema" xmlns:xs="http://www.w3.org/2001/XMLSchema" xmlns:p="http://schemas.microsoft.com/office/2006/metadata/properties" xmlns:ns2="91287c56-fd86-4826-8399-f4e717ffbed7" xmlns:ns3="d6683c56-90e6-444a-b524-8bc53d4fdfa0" targetNamespace="http://schemas.microsoft.com/office/2006/metadata/properties" ma:root="true" ma:fieldsID="aaae25793d07d42d4ad8f8f0961ff9d0" ns2:_="" ns3:_="">
    <xsd:import namespace="91287c56-fd86-4826-8399-f4e717ffbed7"/>
    <xsd:import namespace="d6683c56-90e6-444a-b524-8bc53d4fdf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ontos_x0020_code" minOccurs="0"/>
                <xsd:element ref="ns2:Activity_x0020_type" minOccurs="0"/>
                <xsd:element ref="ns2: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87c56-fd86-4826-8399-f4e717ffbe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ontos_x0020_code" ma:index="12" nillable="true" ma:displayName="Kontos code" ma:default="AFI2008" ma:internalName="Kontos_x0020_code">
      <xsd:simpleType>
        <xsd:restriction base="dms:Text">
          <xsd:maxLength value="255"/>
        </xsd:restriction>
      </xsd:simpleType>
    </xsd:element>
    <xsd:element name="Activity_x0020_type" ma:index="13" nillable="true" ma:displayName="Activity type" ma:internalName="Activity_x0020_type">
      <xsd:simpleType>
        <xsd:restriction base="dms:Text">
          <xsd:maxLength value="255"/>
        </xsd:restriction>
      </xsd:simpleType>
    </xsd:element>
    <xsd:element name="Location" ma:index="14" nillable="true" ma:displayName="Location" ma:internalName="Loc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83c56-90e6-444a-b524-8bc53d4fdfa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ctivity_x0020_type xmlns="91287c56-fd86-4826-8399-f4e717ffbed7" xsi:nil="true"/>
    <Location xmlns="91287c56-fd86-4826-8399-f4e717ffbed7" xsi:nil="true"/>
    <Kontos_x0020_code xmlns="91287c56-fd86-4826-8399-f4e717ffbed7">AFI2008</Kontos_x0020_code>
  </documentManagement>
</p:properties>
</file>

<file path=customXml/itemProps1.xml><?xml version="1.0" encoding="utf-8"?>
<ds:datastoreItem xmlns:ds="http://schemas.openxmlformats.org/officeDocument/2006/customXml" ds:itemID="{81C222A6-DAE9-4DD2-BE77-E87F86490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87c56-fd86-4826-8399-f4e717ffbed7"/>
    <ds:schemaRef ds:uri="d6683c56-90e6-444a-b524-8bc53d4fd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148EAE-EB3F-4D6E-AF36-A06379F3B829}">
  <ds:schemaRefs>
    <ds:schemaRef ds:uri="http://schemas.microsoft.com/sharepoint/v3/contenttype/forms"/>
  </ds:schemaRefs>
</ds:datastoreItem>
</file>

<file path=customXml/itemProps3.xml><?xml version="1.0" encoding="utf-8"?>
<ds:datastoreItem xmlns:ds="http://schemas.openxmlformats.org/officeDocument/2006/customXml" ds:itemID="{55F136A1-D008-4058-BAD1-BC0429181ECE}">
  <ds:schemaRefs>
    <ds:schemaRef ds:uri="http://schemas.microsoft.com/office/2006/metadata/properties"/>
    <ds:schemaRef ds:uri="http://schemas.microsoft.com/office/2006/documentManagement/types"/>
    <ds:schemaRef ds:uri="91287c56-fd86-4826-8399-f4e717ffbed7"/>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d6683c56-90e6-444a-b524-8bc53d4fdfa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Dashboard</vt:lpstr>
      <vt:lpstr>User guide</vt:lpstr>
      <vt:lpstr>Definitions</vt:lpstr>
      <vt:lpstr>Analytics 3</vt:lpstr>
      <vt:lpstr>Codes</vt:lpstr>
      <vt:lpstr>Source for Dashboard</vt:lpstr>
      <vt:lpstr>MSME policies catalogue</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Vera</dc:creator>
  <cp:keywords/>
  <dc:description/>
  <cp:lastModifiedBy>Ivan James Ssettimba</cp:lastModifiedBy>
  <cp:revision/>
  <dcterms:created xsi:type="dcterms:W3CDTF">2020-10-15T10:49:43Z</dcterms:created>
  <dcterms:modified xsi:type="dcterms:W3CDTF">2021-03-01T17:23:09Z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0x01010014F82457D6CF574E93CB41C3ED8AAF97</vt:lpwstr>
  </property>
</Properties>
</file>